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\Project 21 Rizal\"/>
    </mc:Choice>
  </mc:AlternateContent>
  <xr:revisionPtr revIDLastSave="0" documentId="13_ncr:1_{B4CB8866-D32F-4504-87AF-2D4539C5AC24}" xr6:coauthVersionLast="47" xr6:coauthVersionMax="47" xr10:uidLastSave="{00000000-0000-0000-0000-000000000000}"/>
  <bookViews>
    <workbookView xWindow="-110" yWindow="-110" windowWidth="19420" windowHeight="10300" activeTab="1" xr2:uid="{2AE544A3-A5B4-462E-9389-DFCB09785D7E}"/>
  </bookViews>
  <sheets>
    <sheet name="Sheet1" sheetId="1" r:id="rId1"/>
    <sheet name="ARC" sheetId="2" r:id="rId2"/>
    <sheet name="Sheet2" sheetId="4" r:id="rId3"/>
    <sheet name="Sheet6" sheetId="7" r:id="rId4"/>
    <sheet name="Sheet5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2" l="1"/>
  <c r="H75" i="2"/>
  <c r="H76" i="2"/>
  <c r="H77" i="2"/>
  <c r="H78" i="2"/>
  <c r="H79" i="2"/>
  <c r="H80" i="2"/>
  <c r="H81" i="2"/>
  <c r="H103" i="2" s="1"/>
  <c r="H104" i="2" s="1"/>
  <c r="H82" i="2"/>
  <c r="H83" i="2"/>
  <c r="H84" i="2"/>
  <c r="H85" i="2"/>
  <c r="H86" i="2"/>
  <c r="J86" i="2" s="1"/>
  <c r="H87" i="2"/>
  <c r="H88" i="2"/>
  <c r="H89" i="2"/>
  <c r="H90" i="2"/>
  <c r="H91" i="2"/>
  <c r="H92" i="2"/>
  <c r="H93" i="2"/>
  <c r="H94" i="2"/>
  <c r="J94" i="2" s="1"/>
  <c r="H95" i="2"/>
  <c r="H96" i="2"/>
  <c r="H97" i="2"/>
  <c r="H98" i="2"/>
  <c r="H99" i="2"/>
  <c r="H100" i="2"/>
  <c r="H101" i="2"/>
  <c r="H102" i="2"/>
  <c r="J102" i="2" s="1"/>
  <c r="M102" i="2" s="1"/>
  <c r="H73" i="2"/>
  <c r="G74" i="2"/>
  <c r="G103" i="2" s="1"/>
  <c r="G104" i="2" s="1"/>
  <c r="G75" i="2"/>
  <c r="G76" i="2"/>
  <c r="G77" i="2"/>
  <c r="G78" i="2"/>
  <c r="G79" i="2"/>
  <c r="L79" i="2" s="1"/>
  <c r="G80" i="2"/>
  <c r="L80" i="2" s="1"/>
  <c r="G81" i="2"/>
  <c r="G82" i="2"/>
  <c r="G83" i="2"/>
  <c r="G84" i="2"/>
  <c r="L84" i="2" s="1"/>
  <c r="G85" i="2"/>
  <c r="G86" i="2"/>
  <c r="G87" i="2"/>
  <c r="L87" i="2" s="1"/>
  <c r="G88" i="2"/>
  <c r="L88" i="2" s="1"/>
  <c r="G89" i="2"/>
  <c r="G90" i="2"/>
  <c r="G91" i="2"/>
  <c r="G92" i="2"/>
  <c r="G93" i="2"/>
  <c r="G94" i="2"/>
  <c r="G95" i="2"/>
  <c r="L95" i="2" s="1"/>
  <c r="G96" i="2"/>
  <c r="L96" i="2" s="1"/>
  <c r="G97" i="2"/>
  <c r="G98" i="2"/>
  <c r="L98" i="2" s="1"/>
  <c r="G99" i="2"/>
  <c r="G100" i="2"/>
  <c r="L100" i="2" s="1"/>
  <c r="G101" i="2"/>
  <c r="G102" i="2"/>
  <c r="G73" i="2"/>
  <c r="BL36" i="2"/>
  <c r="BC36" i="2"/>
  <c r="BK35" i="2"/>
  <c r="BN35" i="2" s="1"/>
  <c r="BJ35" i="2"/>
  <c r="BM35" i="2" s="1"/>
  <c r="BE35" i="2"/>
  <c r="BD35" i="2"/>
  <c r="BB35" i="2"/>
  <c r="BA35" i="2"/>
  <c r="BK34" i="2"/>
  <c r="BN34" i="2" s="1"/>
  <c r="BJ34" i="2"/>
  <c r="BM34" i="2" s="1"/>
  <c r="BE34" i="2"/>
  <c r="BD34" i="2"/>
  <c r="BB34" i="2"/>
  <c r="BA34" i="2"/>
  <c r="BK33" i="2"/>
  <c r="BN33" i="2" s="1"/>
  <c r="BJ33" i="2"/>
  <c r="BM33" i="2" s="1"/>
  <c r="BE33" i="2"/>
  <c r="BD33" i="2"/>
  <c r="BB33" i="2"/>
  <c r="BA33" i="2"/>
  <c r="BK32" i="2"/>
  <c r="BN32" i="2" s="1"/>
  <c r="BJ32" i="2"/>
  <c r="BM32" i="2" s="1"/>
  <c r="BE32" i="2"/>
  <c r="BD32" i="2"/>
  <c r="BB32" i="2"/>
  <c r="BA32" i="2"/>
  <c r="BK31" i="2"/>
  <c r="BN31" i="2" s="1"/>
  <c r="BJ31" i="2"/>
  <c r="BM31" i="2" s="1"/>
  <c r="BE31" i="2"/>
  <c r="BD31" i="2"/>
  <c r="BB31" i="2"/>
  <c r="BA31" i="2"/>
  <c r="BK30" i="2"/>
  <c r="BN30" i="2" s="1"/>
  <c r="BJ30" i="2"/>
  <c r="BM30" i="2" s="1"/>
  <c r="BE30" i="2"/>
  <c r="BD30" i="2"/>
  <c r="BB30" i="2"/>
  <c r="BA30" i="2"/>
  <c r="BK29" i="2"/>
  <c r="BN29" i="2" s="1"/>
  <c r="BJ29" i="2"/>
  <c r="BM29" i="2" s="1"/>
  <c r="BE29" i="2"/>
  <c r="BD29" i="2"/>
  <c r="BB29" i="2"/>
  <c r="BA29" i="2"/>
  <c r="BK28" i="2"/>
  <c r="BN28" i="2" s="1"/>
  <c r="BJ28" i="2"/>
  <c r="BM28" i="2" s="1"/>
  <c r="BE28" i="2"/>
  <c r="BD28" i="2"/>
  <c r="BB28" i="2"/>
  <c r="BA28" i="2"/>
  <c r="BK27" i="2"/>
  <c r="BN27" i="2" s="1"/>
  <c r="BJ27" i="2"/>
  <c r="BM27" i="2" s="1"/>
  <c r="BE27" i="2"/>
  <c r="BD27" i="2"/>
  <c r="BB27" i="2"/>
  <c r="BA27" i="2"/>
  <c r="BK26" i="2"/>
  <c r="BN26" i="2" s="1"/>
  <c r="BJ26" i="2"/>
  <c r="BM26" i="2" s="1"/>
  <c r="BE26" i="2"/>
  <c r="BD26" i="2"/>
  <c r="BB26" i="2"/>
  <c r="BA26" i="2"/>
  <c r="BK25" i="2"/>
  <c r="BN25" i="2" s="1"/>
  <c r="BJ25" i="2"/>
  <c r="BM25" i="2" s="1"/>
  <c r="BE25" i="2"/>
  <c r="BD25" i="2"/>
  <c r="BB25" i="2"/>
  <c r="BA25" i="2"/>
  <c r="BK24" i="2"/>
  <c r="BN24" i="2" s="1"/>
  <c r="BJ24" i="2"/>
  <c r="BM24" i="2" s="1"/>
  <c r="BE24" i="2"/>
  <c r="BD24" i="2"/>
  <c r="BB24" i="2"/>
  <c r="BA24" i="2"/>
  <c r="BK23" i="2"/>
  <c r="BN23" i="2" s="1"/>
  <c r="BJ23" i="2"/>
  <c r="BM23" i="2" s="1"/>
  <c r="BE23" i="2"/>
  <c r="BD23" i="2"/>
  <c r="BB23" i="2"/>
  <c r="BA23" i="2"/>
  <c r="BK22" i="2"/>
  <c r="BN22" i="2" s="1"/>
  <c r="BJ22" i="2"/>
  <c r="BM22" i="2" s="1"/>
  <c r="BE22" i="2"/>
  <c r="BD22" i="2"/>
  <c r="BB22" i="2"/>
  <c r="BA22" i="2"/>
  <c r="BK21" i="2"/>
  <c r="BN21" i="2" s="1"/>
  <c r="BJ21" i="2"/>
  <c r="BM21" i="2" s="1"/>
  <c r="BE21" i="2"/>
  <c r="BD21" i="2"/>
  <c r="BB21" i="2"/>
  <c r="BA21" i="2"/>
  <c r="BK20" i="2"/>
  <c r="BN20" i="2" s="1"/>
  <c r="BJ20" i="2"/>
  <c r="BM20" i="2" s="1"/>
  <c r="BE20" i="2"/>
  <c r="BD20" i="2"/>
  <c r="BB20" i="2"/>
  <c r="BA20" i="2"/>
  <c r="BK19" i="2"/>
  <c r="BN19" i="2" s="1"/>
  <c r="BJ19" i="2"/>
  <c r="BM19" i="2" s="1"/>
  <c r="BE19" i="2"/>
  <c r="BD19" i="2"/>
  <c r="BB19" i="2"/>
  <c r="BA19" i="2"/>
  <c r="BK18" i="2"/>
  <c r="BN18" i="2" s="1"/>
  <c r="BJ18" i="2"/>
  <c r="BM18" i="2" s="1"/>
  <c r="BE18" i="2"/>
  <c r="BD18" i="2"/>
  <c r="BB18" i="2"/>
  <c r="BA18" i="2"/>
  <c r="BK17" i="2"/>
  <c r="BN17" i="2" s="1"/>
  <c r="BJ17" i="2"/>
  <c r="BM17" i="2" s="1"/>
  <c r="BE17" i="2"/>
  <c r="BD17" i="2"/>
  <c r="BB17" i="2"/>
  <c r="BA17" i="2"/>
  <c r="BK16" i="2"/>
  <c r="BN16" i="2" s="1"/>
  <c r="BJ16" i="2"/>
  <c r="BM16" i="2" s="1"/>
  <c r="BE16" i="2"/>
  <c r="BD16" i="2"/>
  <c r="BB16" i="2"/>
  <c r="BA16" i="2"/>
  <c r="BK15" i="2"/>
  <c r="BN15" i="2" s="1"/>
  <c r="BJ15" i="2"/>
  <c r="BM15" i="2" s="1"/>
  <c r="BE15" i="2"/>
  <c r="BD15" i="2"/>
  <c r="BB15" i="2"/>
  <c r="BA15" i="2"/>
  <c r="BK14" i="2"/>
  <c r="BN14" i="2" s="1"/>
  <c r="BJ14" i="2"/>
  <c r="BM14" i="2" s="1"/>
  <c r="BE14" i="2"/>
  <c r="BD14" i="2"/>
  <c r="BB14" i="2"/>
  <c r="BA14" i="2"/>
  <c r="BK13" i="2"/>
  <c r="BN13" i="2" s="1"/>
  <c r="BJ13" i="2"/>
  <c r="BM13" i="2" s="1"/>
  <c r="BE13" i="2"/>
  <c r="BD13" i="2"/>
  <c r="BB13" i="2"/>
  <c r="BA13" i="2"/>
  <c r="BK12" i="2"/>
  <c r="BN12" i="2" s="1"/>
  <c r="BJ12" i="2"/>
  <c r="BM12" i="2" s="1"/>
  <c r="BE12" i="2"/>
  <c r="BD12" i="2"/>
  <c r="BB12" i="2"/>
  <c r="BA12" i="2"/>
  <c r="BK11" i="2"/>
  <c r="BN11" i="2" s="1"/>
  <c r="BJ11" i="2"/>
  <c r="BM11" i="2" s="1"/>
  <c r="BE11" i="2"/>
  <c r="BD11" i="2"/>
  <c r="BB11" i="2"/>
  <c r="BA11" i="2"/>
  <c r="BK10" i="2"/>
  <c r="BN10" i="2" s="1"/>
  <c r="BJ10" i="2"/>
  <c r="BM10" i="2" s="1"/>
  <c r="BE10" i="2"/>
  <c r="BD10" i="2"/>
  <c r="BB10" i="2"/>
  <c r="BA10" i="2"/>
  <c r="BK9" i="2"/>
  <c r="BN9" i="2" s="1"/>
  <c r="BJ9" i="2"/>
  <c r="BM9" i="2" s="1"/>
  <c r="BE9" i="2"/>
  <c r="BD9" i="2"/>
  <c r="BB9" i="2"/>
  <c r="BA9" i="2"/>
  <c r="BK8" i="2"/>
  <c r="BN8" i="2" s="1"/>
  <c r="BJ8" i="2"/>
  <c r="BM8" i="2" s="1"/>
  <c r="BE8" i="2"/>
  <c r="BD8" i="2"/>
  <c r="BB8" i="2"/>
  <c r="BA8" i="2"/>
  <c r="BK7" i="2"/>
  <c r="BN7" i="2" s="1"/>
  <c r="BJ7" i="2"/>
  <c r="BM7" i="2" s="1"/>
  <c r="BE7" i="2"/>
  <c r="BD7" i="2"/>
  <c r="BB7" i="2"/>
  <c r="BA7" i="2"/>
  <c r="BK6" i="2"/>
  <c r="BN6" i="2" s="1"/>
  <c r="BN36" i="2" s="1"/>
  <c r="BJ6" i="2"/>
  <c r="BM6" i="2" s="1"/>
  <c r="BM36" i="2" s="1"/>
  <c r="BE6" i="2"/>
  <c r="BE36" i="2" s="1"/>
  <c r="BD6" i="2"/>
  <c r="BD36" i="2" s="1"/>
  <c r="BB6" i="2"/>
  <c r="BB36" i="2" s="1"/>
  <c r="BA6" i="2"/>
  <c r="BA36" i="2" s="1"/>
  <c r="AW41" i="2"/>
  <c r="AU41" i="2"/>
  <c r="AT41" i="2"/>
  <c r="AV40" i="2"/>
  <c r="AV39" i="2"/>
  <c r="AV38" i="2"/>
  <c r="AV37" i="2"/>
  <c r="AV36" i="2"/>
  <c r="AV35" i="2"/>
  <c r="AV34" i="2"/>
  <c r="AV41" i="2" s="1"/>
  <c r="AW32" i="2"/>
  <c r="AU32" i="2"/>
  <c r="AT32" i="2"/>
  <c r="AV31" i="2"/>
  <c r="AV30" i="2"/>
  <c r="AV29" i="2"/>
  <c r="AV28" i="2"/>
  <c r="AV27" i="2"/>
  <c r="AV26" i="2"/>
  <c r="AV25" i="2"/>
  <c r="AV32" i="2" s="1"/>
  <c r="AW23" i="2"/>
  <c r="AU23" i="2"/>
  <c r="AT23" i="2"/>
  <c r="AV22" i="2"/>
  <c r="AV21" i="2"/>
  <c r="AV20" i="2"/>
  <c r="AV19" i="2"/>
  <c r="AV18" i="2"/>
  <c r="AV17" i="2"/>
  <c r="AV16" i="2"/>
  <c r="AV15" i="2"/>
  <c r="AV14" i="2"/>
  <c r="AV23" i="2" s="1"/>
  <c r="AW12" i="2"/>
  <c r="AU12" i="2"/>
  <c r="AT12" i="2"/>
  <c r="AV11" i="2"/>
  <c r="AV10" i="2"/>
  <c r="AV9" i="2"/>
  <c r="AV8" i="2"/>
  <c r="AV7" i="2"/>
  <c r="AV6" i="2"/>
  <c r="AV5" i="2"/>
  <c r="AV12" i="2" s="1"/>
  <c r="F104" i="2"/>
  <c r="K103" i="2"/>
  <c r="K104" i="2" s="1"/>
  <c r="F103" i="2"/>
  <c r="D103" i="2"/>
  <c r="D104" i="2" s="1"/>
  <c r="C103" i="2"/>
  <c r="C104" i="2" s="1"/>
  <c r="L102" i="2"/>
  <c r="I102" i="2"/>
  <c r="E102" i="2"/>
  <c r="L101" i="2"/>
  <c r="J101" i="2"/>
  <c r="I101" i="2"/>
  <c r="E101" i="2"/>
  <c r="I100" i="2"/>
  <c r="J100" i="2" s="1"/>
  <c r="E100" i="2"/>
  <c r="I99" i="2"/>
  <c r="J99" i="2" s="1"/>
  <c r="L99" i="2"/>
  <c r="E99" i="2"/>
  <c r="I98" i="2"/>
  <c r="E98" i="2"/>
  <c r="I97" i="2"/>
  <c r="L97" i="2"/>
  <c r="E97" i="2"/>
  <c r="I96" i="2"/>
  <c r="E96" i="2"/>
  <c r="I95" i="2"/>
  <c r="E95" i="2"/>
  <c r="L94" i="2"/>
  <c r="I94" i="2"/>
  <c r="E94" i="2"/>
  <c r="L93" i="2"/>
  <c r="J93" i="2"/>
  <c r="M93" i="2" s="1"/>
  <c r="I93" i="2"/>
  <c r="E93" i="2"/>
  <c r="L92" i="2"/>
  <c r="I92" i="2"/>
  <c r="E92" i="2"/>
  <c r="I91" i="2"/>
  <c r="J91" i="2" s="1"/>
  <c r="L91" i="2"/>
  <c r="E91" i="2"/>
  <c r="I90" i="2"/>
  <c r="L90" i="2"/>
  <c r="E90" i="2"/>
  <c r="I89" i="2"/>
  <c r="L89" i="2"/>
  <c r="E89" i="2"/>
  <c r="I88" i="2"/>
  <c r="E88" i="2"/>
  <c r="I87" i="2"/>
  <c r="E87" i="2"/>
  <c r="L86" i="2"/>
  <c r="I86" i="2"/>
  <c r="E86" i="2"/>
  <c r="L85" i="2"/>
  <c r="J85" i="2"/>
  <c r="I85" i="2"/>
  <c r="E85" i="2"/>
  <c r="I84" i="2"/>
  <c r="E84" i="2"/>
  <c r="I83" i="2"/>
  <c r="L83" i="2"/>
  <c r="E83" i="2"/>
  <c r="I82" i="2"/>
  <c r="L82" i="2"/>
  <c r="E82" i="2"/>
  <c r="I81" i="2"/>
  <c r="L81" i="2"/>
  <c r="E81" i="2"/>
  <c r="I80" i="2"/>
  <c r="E80" i="2"/>
  <c r="I79" i="2"/>
  <c r="J79" i="2"/>
  <c r="E79" i="2"/>
  <c r="L78" i="2"/>
  <c r="J78" i="2"/>
  <c r="I78" i="2"/>
  <c r="E78" i="2"/>
  <c r="L77" i="2"/>
  <c r="J77" i="2"/>
  <c r="M77" i="2" s="1"/>
  <c r="I77" i="2"/>
  <c r="E77" i="2"/>
  <c r="L76" i="2"/>
  <c r="I76" i="2"/>
  <c r="I103" i="2" s="1"/>
  <c r="I104" i="2" s="1"/>
  <c r="E76" i="2"/>
  <c r="I75" i="2"/>
  <c r="L75" i="2"/>
  <c r="E75" i="2"/>
  <c r="I74" i="2"/>
  <c r="L74" i="2"/>
  <c r="E74" i="2"/>
  <c r="I73" i="2"/>
  <c r="E73" i="2"/>
  <c r="E103" i="2" s="1"/>
  <c r="E104" i="2" s="1"/>
  <c r="J70" i="2"/>
  <c r="I70" i="2"/>
  <c r="H70" i="2"/>
  <c r="J69" i="2"/>
  <c r="I69" i="2"/>
  <c r="H69" i="2"/>
  <c r="K69" i="2" s="1"/>
  <c r="G69" i="2"/>
  <c r="G70" i="2" s="1"/>
  <c r="F69" i="2"/>
  <c r="F70" i="2" s="1"/>
  <c r="E69" i="2"/>
  <c r="E70" i="2" s="1"/>
  <c r="D69" i="2"/>
  <c r="D70" i="2" s="1"/>
  <c r="C69" i="2"/>
  <c r="C70" i="2" s="1"/>
  <c r="O68" i="2"/>
  <c r="K68" i="2"/>
  <c r="O67" i="2"/>
  <c r="K67" i="2"/>
  <c r="O66" i="2"/>
  <c r="K66" i="2"/>
  <c r="O65" i="2"/>
  <c r="K65" i="2"/>
  <c r="O64" i="2"/>
  <c r="K64" i="2"/>
  <c r="O63" i="2"/>
  <c r="K63" i="2"/>
  <c r="O62" i="2"/>
  <c r="K62" i="2"/>
  <c r="O61" i="2"/>
  <c r="K61" i="2"/>
  <c r="O60" i="2"/>
  <c r="K60" i="2"/>
  <c r="O59" i="2"/>
  <c r="K59" i="2"/>
  <c r="O58" i="2"/>
  <c r="K58" i="2"/>
  <c r="O57" i="2"/>
  <c r="K57" i="2"/>
  <c r="O56" i="2"/>
  <c r="K56" i="2"/>
  <c r="O55" i="2"/>
  <c r="K55" i="2"/>
  <c r="O54" i="2"/>
  <c r="K54" i="2"/>
  <c r="O53" i="2"/>
  <c r="K53" i="2"/>
  <c r="O52" i="2"/>
  <c r="K52" i="2"/>
  <c r="O51" i="2"/>
  <c r="K51" i="2"/>
  <c r="O50" i="2"/>
  <c r="K50" i="2"/>
  <c r="O49" i="2"/>
  <c r="K49" i="2"/>
  <c r="O48" i="2"/>
  <c r="K48" i="2"/>
  <c r="O47" i="2"/>
  <c r="K47" i="2"/>
  <c r="O46" i="2"/>
  <c r="K46" i="2"/>
  <c r="O45" i="2"/>
  <c r="K45" i="2"/>
  <c r="O44" i="2"/>
  <c r="K44" i="2"/>
  <c r="O43" i="2"/>
  <c r="K43" i="2"/>
  <c r="O42" i="2"/>
  <c r="K42" i="2"/>
  <c r="O41" i="2"/>
  <c r="K41" i="2"/>
  <c r="O40" i="2"/>
  <c r="K40" i="2"/>
  <c r="O39" i="2"/>
  <c r="K39" i="2"/>
  <c r="P36" i="7"/>
  <c r="P35" i="7"/>
  <c r="M3" i="7"/>
  <c r="N32" i="7"/>
  <c r="N23" i="7"/>
  <c r="N22" i="7"/>
  <c r="N21" i="7"/>
  <c r="N20" i="7"/>
  <c r="N19" i="7"/>
  <c r="N25" i="7"/>
  <c r="N24" i="7"/>
  <c r="N27" i="7"/>
  <c r="N26" i="7"/>
  <c r="N18" i="7"/>
  <c r="N17" i="7"/>
  <c r="N16" i="7"/>
  <c r="N14" i="7"/>
  <c r="Q14" i="7" s="1"/>
  <c r="N30" i="7"/>
  <c r="N29" i="7"/>
  <c r="N28" i="7"/>
  <c r="Q28" i="7" s="1"/>
  <c r="N31" i="7"/>
  <c r="N15" i="7"/>
  <c r="N13" i="7"/>
  <c r="N12" i="7"/>
  <c r="N11" i="7"/>
  <c r="N10" i="7"/>
  <c r="Q10" i="7" s="1"/>
  <c r="N9" i="7"/>
  <c r="N8" i="7"/>
  <c r="Q8" i="7" s="1"/>
  <c r="N7" i="7"/>
  <c r="Q7" i="7" s="1"/>
  <c r="N6" i="7"/>
  <c r="N5" i="7"/>
  <c r="N4" i="7"/>
  <c r="Q4" i="7" s="1"/>
  <c r="N3" i="7"/>
  <c r="Q11" i="7"/>
  <c r="Q9" i="7"/>
  <c r="Q6" i="7"/>
  <c r="O33" i="7"/>
  <c r="P33" i="7"/>
  <c r="M33" i="7"/>
  <c r="M32" i="7"/>
  <c r="M31" i="7"/>
  <c r="M30" i="7"/>
  <c r="P30" i="7" s="1"/>
  <c r="M29" i="7"/>
  <c r="M28" i="7"/>
  <c r="M27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1" i="7"/>
  <c r="P32" i="7"/>
  <c r="Q5" i="7"/>
  <c r="Q12" i="7"/>
  <c r="Q13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9" i="7"/>
  <c r="Q30" i="7"/>
  <c r="Q31" i="7"/>
  <c r="Q32" i="7"/>
  <c r="P3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E13" i="7"/>
  <c r="H13" i="7" s="1"/>
  <c r="E11" i="7"/>
  <c r="E10" i="7"/>
  <c r="H10" i="7" s="1"/>
  <c r="E9" i="7"/>
  <c r="H9" i="7" s="1"/>
  <c r="E8" i="7"/>
  <c r="H8" i="7" s="1"/>
  <c r="E7" i="7"/>
  <c r="H7" i="7" s="1"/>
  <c r="E6" i="7"/>
  <c r="H6" i="7" s="1"/>
  <c r="E28" i="7"/>
  <c r="H28" i="7" s="1"/>
  <c r="E27" i="7"/>
  <c r="E25" i="7"/>
  <c r="H25" i="7" s="1"/>
  <c r="E22" i="7"/>
  <c r="H22" i="7" s="1"/>
  <c r="E24" i="7"/>
  <c r="H24" i="7" s="1"/>
  <c r="E23" i="7"/>
  <c r="H23" i="7" s="1"/>
  <c r="E20" i="7"/>
  <c r="H20" i="7" s="1"/>
  <c r="E31" i="7"/>
  <c r="H31" i="7" s="1"/>
  <c r="E30" i="7"/>
  <c r="H30" i="7" s="1"/>
  <c r="E29" i="7"/>
  <c r="H29" i="7" s="1"/>
  <c r="E26" i="7"/>
  <c r="E32" i="7"/>
  <c r="H32" i="7" s="1"/>
  <c r="E18" i="7"/>
  <c r="H18" i="7" s="1"/>
  <c r="E21" i="7"/>
  <c r="H21" i="7" s="1"/>
  <c r="E5" i="7"/>
  <c r="H5" i="7" s="1"/>
  <c r="E3" i="7"/>
  <c r="H3" i="7" s="1"/>
  <c r="E4" i="7"/>
  <c r="E14" i="7"/>
  <c r="H14" i="7" s="1"/>
  <c r="E12" i="7"/>
  <c r="H12" i="7" s="1"/>
  <c r="E15" i="7"/>
  <c r="H15" i="7" s="1"/>
  <c r="E19" i="7"/>
  <c r="E17" i="7"/>
  <c r="H17" i="7" s="1"/>
  <c r="E16" i="7"/>
  <c r="H4" i="7"/>
  <c r="H11" i="7"/>
  <c r="H19" i="7"/>
  <c r="H26" i="7"/>
  <c r="H27" i="7"/>
  <c r="D25" i="7"/>
  <c r="G25" i="7" s="1"/>
  <c r="D28" i="7"/>
  <c r="G28" i="7" s="1"/>
  <c r="D31" i="7"/>
  <c r="D26" i="7"/>
  <c r="D29" i="7"/>
  <c r="G29" i="7" s="1"/>
  <c r="D32" i="7"/>
  <c r="G32" i="7" s="1"/>
  <c r="D27" i="7"/>
  <c r="G27" i="7" s="1"/>
  <c r="D30" i="7"/>
  <c r="D17" i="7"/>
  <c r="G17" i="7" s="1"/>
  <c r="D21" i="7"/>
  <c r="G21" i="7" s="1"/>
  <c r="D23" i="7"/>
  <c r="G23" i="7" s="1"/>
  <c r="D19" i="7"/>
  <c r="G19" i="7" s="1"/>
  <c r="D20" i="7"/>
  <c r="G20" i="7" s="1"/>
  <c r="D22" i="7"/>
  <c r="G22" i="7"/>
  <c r="D18" i="7"/>
  <c r="G18" i="7" s="1"/>
  <c r="D24" i="7"/>
  <c r="D14" i="7"/>
  <c r="G14" i="7" s="1"/>
  <c r="D15" i="7"/>
  <c r="G15" i="7" s="1"/>
  <c r="D16" i="7"/>
  <c r="G16" i="7" s="1"/>
  <c r="D13" i="7"/>
  <c r="D11" i="7"/>
  <c r="G11" i="7" s="1"/>
  <c r="G30" i="7"/>
  <c r="D12" i="7"/>
  <c r="G12" i="7" s="1"/>
  <c r="D10" i="7"/>
  <c r="G10" i="7" s="1"/>
  <c r="D9" i="7"/>
  <c r="G9" i="7" s="1"/>
  <c r="D8" i="7"/>
  <c r="G8" i="7" s="1"/>
  <c r="D7" i="7"/>
  <c r="G7" i="7" s="1"/>
  <c r="D6" i="7"/>
  <c r="G6" i="7" s="1"/>
  <c r="D5" i="7"/>
  <c r="G5" i="7" s="1"/>
  <c r="D4" i="7"/>
  <c r="G4" i="7" s="1"/>
  <c r="D3" i="7"/>
  <c r="G3" i="7" s="1"/>
  <c r="F33" i="7"/>
  <c r="G26" i="7"/>
  <c r="G13" i="7"/>
  <c r="E38" i="6"/>
  <c r="F38" i="6"/>
  <c r="G38" i="6"/>
  <c r="D38" i="6"/>
  <c r="E29" i="6"/>
  <c r="F29" i="6"/>
  <c r="G29" i="6"/>
  <c r="D29" i="6"/>
  <c r="E20" i="6"/>
  <c r="F20" i="6"/>
  <c r="G20" i="6"/>
  <c r="D20" i="6"/>
  <c r="G9" i="6"/>
  <c r="E9" i="6"/>
  <c r="F9" i="6"/>
  <c r="D9" i="6"/>
  <c r="F37" i="6"/>
  <c r="F36" i="6"/>
  <c r="F35" i="6"/>
  <c r="F34" i="6"/>
  <c r="F33" i="6"/>
  <c r="F32" i="6"/>
  <c r="F31" i="6"/>
  <c r="F28" i="6"/>
  <c r="F27" i="6"/>
  <c r="F26" i="6"/>
  <c r="F25" i="6"/>
  <c r="F24" i="6"/>
  <c r="F23" i="6"/>
  <c r="F22" i="6"/>
  <c r="F19" i="6"/>
  <c r="F18" i="6"/>
  <c r="F17" i="6"/>
  <c r="F16" i="6"/>
  <c r="F15" i="6"/>
  <c r="F14" i="6"/>
  <c r="F13" i="6"/>
  <c r="F12" i="6"/>
  <c r="F11" i="6"/>
  <c r="F8" i="6"/>
  <c r="F7" i="6"/>
  <c r="F6" i="6"/>
  <c r="F5" i="6"/>
  <c r="F4" i="6"/>
  <c r="F3" i="6"/>
  <c r="F2" i="6"/>
  <c r="I8" i="4"/>
  <c r="I10" i="4"/>
  <c r="I27" i="4"/>
  <c r="I6" i="4"/>
  <c r="I14" i="4"/>
  <c r="I16" i="4"/>
  <c r="I18" i="4"/>
  <c r="I22" i="4"/>
  <c r="G2" i="4"/>
  <c r="L2" i="4" s="1"/>
  <c r="G3" i="4"/>
  <c r="L3" i="4" s="1"/>
  <c r="G5" i="4"/>
  <c r="L5" i="4" s="1"/>
  <c r="G7" i="4"/>
  <c r="L7" i="4" s="1"/>
  <c r="G8" i="4"/>
  <c r="L8" i="4" s="1"/>
  <c r="G9" i="4"/>
  <c r="L9" i="4" s="1"/>
  <c r="G10" i="4"/>
  <c r="L10" i="4" s="1"/>
  <c r="G11" i="4"/>
  <c r="L11" i="4" s="1"/>
  <c r="G12" i="4"/>
  <c r="L12" i="4" s="1"/>
  <c r="G13" i="4"/>
  <c r="L13" i="4" s="1"/>
  <c r="G14" i="4"/>
  <c r="L14" i="4" s="1"/>
  <c r="G15" i="4"/>
  <c r="L15" i="4" s="1"/>
  <c r="G16" i="4"/>
  <c r="L16" i="4" s="1"/>
  <c r="G17" i="4"/>
  <c r="L17" i="4" s="1"/>
  <c r="G18" i="4"/>
  <c r="L18" i="4" s="1"/>
  <c r="G19" i="4"/>
  <c r="L19" i="4" s="1"/>
  <c r="G20" i="4"/>
  <c r="L20" i="4" s="1"/>
  <c r="G21" i="4"/>
  <c r="L21" i="4" s="1"/>
  <c r="G22" i="4"/>
  <c r="L22" i="4" s="1"/>
  <c r="G23" i="4"/>
  <c r="L23" i="4" s="1"/>
  <c r="G24" i="4"/>
  <c r="L24" i="4" s="1"/>
  <c r="G25" i="4"/>
  <c r="L25" i="4" s="1"/>
  <c r="G26" i="4"/>
  <c r="L26" i="4" s="1"/>
  <c r="G27" i="4"/>
  <c r="L27" i="4" s="1"/>
  <c r="G28" i="4"/>
  <c r="L28" i="4" s="1"/>
  <c r="G29" i="4"/>
  <c r="L29" i="4" s="1"/>
  <c r="G30" i="4"/>
  <c r="L30" i="4" s="1"/>
  <c r="G31" i="4"/>
  <c r="L31" i="4" s="1"/>
  <c r="I3" i="4"/>
  <c r="I4" i="4"/>
  <c r="I5" i="4"/>
  <c r="I7" i="4"/>
  <c r="I9" i="4"/>
  <c r="I11" i="4"/>
  <c r="I12" i="4"/>
  <c r="I13" i="4"/>
  <c r="I15" i="4"/>
  <c r="I17" i="4"/>
  <c r="I19" i="4"/>
  <c r="I20" i="4"/>
  <c r="I21" i="4"/>
  <c r="I23" i="4"/>
  <c r="J23" i="4" s="1"/>
  <c r="I24" i="4"/>
  <c r="I25" i="4"/>
  <c r="I26" i="4"/>
  <c r="I28" i="4"/>
  <c r="I29" i="4"/>
  <c r="I30" i="4"/>
  <c r="I31" i="4"/>
  <c r="J31" i="4" s="1"/>
  <c r="I2" i="4"/>
  <c r="E23" i="4"/>
  <c r="E24" i="4"/>
  <c r="E25" i="4"/>
  <c r="E26" i="4"/>
  <c r="E27" i="4"/>
  <c r="E28" i="4"/>
  <c r="E29" i="4"/>
  <c r="E30" i="4"/>
  <c r="E31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" i="4"/>
  <c r="D32" i="4"/>
  <c r="D33" i="4" s="1"/>
  <c r="C32" i="4"/>
  <c r="C33" i="4" s="1"/>
  <c r="K32" i="4"/>
  <c r="K33" i="4" s="1"/>
  <c r="H3" i="4"/>
  <c r="H7" i="4"/>
  <c r="H11" i="4"/>
  <c r="H14" i="4"/>
  <c r="H15" i="4"/>
  <c r="H19" i="4"/>
  <c r="H22" i="4"/>
  <c r="H23" i="4"/>
  <c r="H27" i="4"/>
  <c r="H30" i="4"/>
  <c r="H31" i="4"/>
  <c r="H24" i="4"/>
  <c r="H25" i="4"/>
  <c r="H26" i="4"/>
  <c r="H28" i="4"/>
  <c r="H29" i="4"/>
  <c r="H4" i="4"/>
  <c r="H5" i="4"/>
  <c r="H6" i="4"/>
  <c r="H8" i="4"/>
  <c r="H9" i="4"/>
  <c r="H10" i="4"/>
  <c r="H12" i="4"/>
  <c r="H13" i="4"/>
  <c r="H16" i="4"/>
  <c r="H17" i="4"/>
  <c r="H18" i="4"/>
  <c r="H20" i="4"/>
  <c r="H21" i="4"/>
  <c r="H2" i="4"/>
  <c r="G4" i="4"/>
  <c r="L4" i="4" s="1"/>
  <c r="G6" i="4"/>
  <c r="L6" i="4" s="1"/>
  <c r="AG28" i="2"/>
  <c r="AG34" i="2"/>
  <c r="AG33" i="2"/>
  <c r="AG32" i="2"/>
  <c r="AG31" i="2"/>
  <c r="AG30" i="2"/>
  <c r="AG29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G6" i="2"/>
  <c r="AG5" i="2"/>
  <c r="M94" i="2" l="1"/>
  <c r="M85" i="2"/>
  <c r="J87" i="2"/>
  <c r="M87" i="2" s="1"/>
  <c r="M100" i="2"/>
  <c r="M78" i="2"/>
  <c r="J84" i="2"/>
  <c r="M84" i="2" s="1"/>
  <c r="J95" i="2"/>
  <c r="M95" i="2" s="1"/>
  <c r="M79" i="2"/>
  <c r="M86" i="2"/>
  <c r="J92" i="2"/>
  <c r="M92" i="2" s="1"/>
  <c r="M101" i="2"/>
  <c r="BJ36" i="2"/>
  <c r="BK36" i="2"/>
  <c r="M99" i="2"/>
  <c r="M91" i="2"/>
  <c r="J76" i="2"/>
  <c r="M76" i="2" s="1"/>
  <c r="J75" i="2"/>
  <c r="M75" i="2" s="1"/>
  <c r="J83" i="2"/>
  <c r="M83" i="2" s="1"/>
  <c r="J74" i="2"/>
  <c r="M74" i="2" s="1"/>
  <c r="J82" i="2"/>
  <c r="M82" i="2" s="1"/>
  <c r="J90" i="2"/>
  <c r="M90" i="2" s="1"/>
  <c r="J98" i="2"/>
  <c r="M98" i="2" s="1"/>
  <c r="J73" i="2"/>
  <c r="J81" i="2"/>
  <c r="M81" i="2" s="1"/>
  <c r="J89" i="2"/>
  <c r="M89" i="2" s="1"/>
  <c r="J97" i="2"/>
  <c r="M97" i="2" s="1"/>
  <c r="L73" i="2"/>
  <c r="L103" i="2" s="1"/>
  <c r="L104" i="2" s="1"/>
  <c r="J80" i="2"/>
  <c r="M80" i="2" s="1"/>
  <c r="J88" i="2"/>
  <c r="M88" i="2" s="1"/>
  <c r="J96" i="2"/>
  <c r="M96" i="2" s="1"/>
  <c r="J26" i="4"/>
  <c r="J15" i="4"/>
  <c r="M15" i="4" s="1"/>
  <c r="J22" i="4"/>
  <c r="J21" i="4"/>
  <c r="M21" i="4" s="1"/>
  <c r="J30" i="4"/>
  <c r="J7" i="4"/>
  <c r="M7" i="4" s="1"/>
  <c r="J29" i="4"/>
  <c r="M29" i="4" s="1"/>
  <c r="J19" i="4"/>
  <c r="M19" i="4" s="1"/>
  <c r="J5" i="4"/>
  <c r="M5" i="4" s="1"/>
  <c r="J18" i="4"/>
  <c r="J11" i="4"/>
  <c r="M11" i="4" s="1"/>
  <c r="J28" i="4"/>
  <c r="M28" i="4" s="1"/>
  <c r="J17" i="4"/>
  <c r="M17" i="4" s="1"/>
  <c r="J16" i="4"/>
  <c r="M16" i="4" s="1"/>
  <c r="J14" i="4"/>
  <c r="M14" i="4" s="1"/>
  <c r="J10" i="4"/>
  <c r="M10" i="4" s="1"/>
  <c r="J2" i="4"/>
  <c r="M2" i="4" s="1"/>
  <c r="J8" i="4"/>
  <c r="M8" i="4" s="1"/>
  <c r="J3" i="4"/>
  <c r="M3" i="4" s="1"/>
  <c r="J25" i="4"/>
  <c r="M25" i="4" s="1"/>
  <c r="J13" i="4"/>
  <c r="M13" i="4" s="1"/>
  <c r="J24" i="4"/>
  <c r="M24" i="4" s="1"/>
  <c r="J12" i="4"/>
  <c r="M12" i="4" s="1"/>
  <c r="J27" i="4"/>
  <c r="M27" i="4" s="1"/>
  <c r="M26" i="4"/>
  <c r="L69" i="2"/>
  <c r="N69" i="2" s="1"/>
  <c r="N70" i="2" s="1"/>
  <c r="K70" i="2"/>
  <c r="M69" i="2"/>
  <c r="M70" i="2" s="1"/>
  <c r="N33" i="7"/>
  <c r="Q3" i="7"/>
  <c r="Q33" i="7" s="1"/>
  <c r="E33" i="7"/>
  <c r="H16" i="7"/>
  <c r="H33" i="7" s="1"/>
  <c r="D33" i="7"/>
  <c r="G31" i="7"/>
  <c r="G24" i="7"/>
  <c r="E32" i="4"/>
  <c r="E33" i="4" s="1"/>
  <c r="M31" i="4"/>
  <c r="M23" i="4"/>
  <c r="M30" i="4"/>
  <c r="M18" i="4"/>
  <c r="L32" i="4"/>
  <c r="L33" i="4" s="1"/>
  <c r="M22" i="4"/>
  <c r="J20" i="4"/>
  <c r="M20" i="4" s="1"/>
  <c r="J9" i="4"/>
  <c r="M9" i="4" s="1"/>
  <c r="J6" i="4"/>
  <c r="M6" i="4" s="1"/>
  <c r="I32" i="4"/>
  <c r="I33" i="4" s="1"/>
  <c r="J4" i="4"/>
  <c r="M4" i="4" s="1"/>
  <c r="F32" i="4"/>
  <c r="F33" i="4" s="1"/>
  <c r="G32" i="4"/>
  <c r="G33" i="4" s="1"/>
  <c r="H32" i="4"/>
  <c r="H33" i="4" s="1"/>
  <c r="M73" i="2" l="1"/>
  <c r="M103" i="2" s="1"/>
  <c r="M104" i="2" s="1"/>
  <c r="J103" i="2"/>
  <c r="J104" i="2" s="1"/>
  <c r="L70" i="2"/>
  <c r="O69" i="2"/>
  <c r="O70" i="2" s="1"/>
  <c r="G33" i="7"/>
  <c r="H35" i="7" s="1"/>
  <c r="H36" i="7" s="1"/>
  <c r="M32" i="4"/>
  <c r="M33" i="4" s="1"/>
  <c r="J32" i="4"/>
  <c r="J33" i="4" s="1"/>
  <c r="G35" i="7" l="1"/>
  <c r="G36" i="7" s="1"/>
</calcChain>
</file>

<file path=xl/sharedStrings.xml><?xml version="1.0" encoding="utf-8"?>
<sst xmlns="http://schemas.openxmlformats.org/spreadsheetml/2006/main" count="1648" uniqueCount="89">
  <si>
    <t>No</t>
  </si>
  <si>
    <t>Kebutuhan</t>
  </si>
  <si>
    <t>Compate</t>
  </si>
  <si>
    <t>Model Of Gasket PHE</t>
  </si>
  <si>
    <t>Annular bop</t>
  </si>
  <si>
    <t>Annular BOP Set</t>
  </si>
  <si>
    <t>BOP Flanges</t>
  </si>
  <si>
    <t>BOP Flanges S</t>
  </si>
  <si>
    <t>BOP set</t>
  </si>
  <si>
    <t>Hydrils</t>
  </si>
  <si>
    <t>RAM</t>
  </si>
  <si>
    <t>Shaffer</t>
  </si>
  <si>
    <t>Shaffer b</t>
  </si>
  <si>
    <t>Shaffer L8</t>
  </si>
  <si>
    <t>Shaffer S</t>
  </si>
  <si>
    <t>Mounting</t>
  </si>
  <si>
    <t>Front Pic</t>
  </si>
  <si>
    <t>Chain</t>
  </si>
  <si>
    <t>Chain - 2</t>
  </si>
  <si>
    <t>Dam Chain</t>
  </si>
  <si>
    <t>Spring Single</t>
  </si>
  <si>
    <t>Spring Plate</t>
  </si>
  <si>
    <t>Multi Spring</t>
  </si>
  <si>
    <t>Cartridge Metal Bellows</t>
  </si>
  <si>
    <t>Catride Multi Spring</t>
  </si>
  <si>
    <t>Rafia</t>
  </si>
  <si>
    <t>Nilon rope</t>
  </si>
  <si>
    <t>Rubber boot as</t>
  </si>
  <si>
    <t>Boot stir</t>
  </si>
  <si>
    <t>Taper lock bushes</t>
  </si>
  <si>
    <t>Housing</t>
  </si>
  <si>
    <t>Spray Drying</t>
  </si>
  <si>
    <r>
      <t xml:space="preserve">Nama </t>
    </r>
    <r>
      <rPr>
        <i/>
        <sz val="12"/>
        <rFont val="Times New Roman"/>
        <family val="1"/>
      </rPr>
      <t>Sparepart</t>
    </r>
  </si>
  <si>
    <t>A</t>
  </si>
  <si>
    <t>I</t>
  </si>
  <si>
    <t>O</t>
  </si>
  <si>
    <t>U</t>
  </si>
  <si>
    <t>E</t>
  </si>
  <si>
    <t>X</t>
  </si>
  <si>
    <t>B</t>
  </si>
  <si>
    <t>C</t>
  </si>
  <si>
    <t>D</t>
  </si>
  <si>
    <t>F</t>
  </si>
  <si>
    <t>G</t>
  </si>
  <si>
    <t>H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</si>
  <si>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</si>
  <si>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</si>
  <si>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</si>
  <si>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</si>
  <si>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</si>
  <si>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</si>
  <si>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</si>
  <si>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</si>
  <si>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</si>
  <si>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</si>
  <si>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V</t>
  </si>
  <si>
    <t>W</t>
  </si>
  <si>
    <t>Y</t>
  </si>
  <si>
    <t>Z</t>
  </si>
  <si>
    <t>AA</t>
  </si>
  <si>
    <t>AB</t>
  </si>
  <si>
    <t>AC</t>
  </si>
  <si>
    <t>AD</t>
  </si>
  <si>
    <t>Total Pallet</t>
  </si>
  <si>
    <r>
      <t xml:space="preserve">Total </t>
    </r>
    <r>
      <rPr>
        <i/>
        <sz val="10"/>
        <color rgb="FF000000"/>
        <rFont val="Times New Roman"/>
        <family val="1"/>
      </rPr>
      <t>Hand Pallet</t>
    </r>
  </si>
  <si>
    <t>Panjang (cm)</t>
  </si>
  <si>
    <t>Lebar (cm)</t>
  </si>
  <si>
    <t>Tinngi (cm)</t>
  </si>
  <si>
    <t>Bulan (Unit)</t>
  </si>
  <si>
    <t>Rata-Rata Penerimaan</t>
  </si>
  <si>
    <t>Februari</t>
  </si>
  <si>
    <t>Maret</t>
  </si>
  <si>
    <t>April</t>
  </si>
  <si>
    <t>Rata-Rata Pengeluaran</t>
  </si>
  <si>
    <t>Total</t>
  </si>
  <si>
    <t>Rata-rata</t>
  </si>
  <si>
    <t>Stok</t>
  </si>
  <si>
    <t>Kebutuhan Pallet Teoritis</t>
  </si>
  <si>
    <t>Kebutuhan Pallet</t>
  </si>
  <si>
    <r>
      <t>Max Hand</t>
    </r>
    <r>
      <rPr>
        <sz val="10"/>
        <color rgb="FF000000"/>
        <rFont val="Times New Roman"/>
        <family val="1"/>
      </rPr>
      <t xml:space="preserve"> Pallet</t>
    </r>
  </si>
  <si>
    <t>Kapasitas blok</t>
  </si>
  <si>
    <t>T/S</t>
  </si>
  <si>
    <t>Jumlah</t>
  </si>
  <si>
    <t> Kode</t>
  </si>
  <si>
    <t>Jarak Awal</t>
  </si>
  <si>
    <t>Jarak Usulan</t>
  </si>
  <si>
    <t>Jarak Tempuh Awal</t>
  </si>
  <si>
    <t>Jarak Tempuh Usulan</t>
  </si>
  <si>
    <r>
      <t> </t>
    </r>
    <r>
      <rPr>
        <i/>
        <sz val="10"/>
        <rFont val="Times New Roman"/>
        <family val="1"/>
      </rPr>
      <t>Sparepart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</si>
</sst>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sz val="12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sz val="12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1" applyFont="1" applyBorder="1" applyAlignment="1">
      <alignment horizontal="justify" vertical="center" wrapText="1"/>
    </xf>
    <xf numFmtId="0" fontId="0" fillId="0" borderId="1" xfId="0" applyBorder="1"/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0" xfId="0" applyFont="1"/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0" fillId="0" borderId="0" xfId="0" applyNumberFormat="1"/>
    <xf numFmtId="9" fontId="0" fillId="0" borderId="0" xfId="2" applyFont="1"/>
    <xf numFmtId="0" fontId="5" fillId="0" borderId="0" xfId="1" applyFont="1" applyBorder="1" applyAlignment="1">
      <alignment horizontal="center" vertical="center" wrapText="1"/>
    </xf>
    <xf numFmtId="1" fontId="6" fillId="0" borderId="0" xfId="0" applyNumberFormat="1" applyFont="1"/>
    <xf numFmtId="164" fontId="5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6" fillId="0" borderId="1" xfId="0" applyFont="1" applyFill="1" applyBorder="1" applyAlignment="1">
      <alignment horizontal="center" vertical="center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krukus-indonesia.blogspot.com/2010/11/spring-plate.html" TargetMode="External"/><Relationship Id="rId21" Type="http://schemas.openxmlformats.org/officeDocument/2006/relationships/hyperlink" Target="https://krukus-indonesia.blogspot.com/2010/11/multi-spring.html" TargetMode="External"/><Relationship Id="rId42" Type="http://schemas.openxmlformats.org/officeDocument/2006/relationships/hyperlink" Target="https://krukus-indonesia.blogspot.com/2010/11/spring-single.html" TargetMode="External"/><Relationship Id="rId63" Type="http://schemas.openxmlformats.org/officeDocument/2006/relationships/hyperlink" Target="https://krukus-indonesia.blogspot.com/2010/11/bop-set.html" TargetMode="External"/><Relationship Id="rId84" Type="http://schemas.openxmlformats.org/officeDocument/2006/relationships/hyperlink" Target="https://krukus-indonesia.blogspot.com/2010/11/front-pic.html" TargetMode="External"/><Relationship Id="rId138" Type="http://schemas.openxmlformats.org/officeDocument/2006/relationships/hyperlink" Target="https://krukus-indonesia.blogspot.com/2010/11/shaffer-b.html" TargetMode="External"/><Relationship Id="rId159" Type="http://schemas.openxmlformats.org/officeDocument/2006/relationships/hyperlink" Target="https://krukus-indonesia.blogspot.com/2010/11/multi-spring.html" TargetMode="External"/><Relationship Id="rId170" Type="http://schemas.openxmlformats.org/officeDocument/2006/relationships/hyperlink" Target="https://krukus-indonesia.blogspot.com/2010/11/no-name-12.html" TargetMode="External"/><Relationship Id="rId107" Type="http://schemas.openxmlformats.org/officeDocument/2006/relationships/hyperlink" Target="https://krukus-indonesia.blogspot.com/2010/11/front-pic.html" TargetMode="External"/><Relationship Id="rId11" Type="http://schemas.openxmlformats.org/officeDocument/2006/relationships/hyperlink" Target="https://krukus-indonesia.blogspot.com/2010/11/shaffer-b.html" TargetMode="External"/><Relationship Id="rId32" Type="http://schemas.openxmlformats.org/officeDocument/2006/relationships/hyperlink" Target="https://krukus-indonesia.blogspot.com/2010/11/ram.html" TargetMode="External"/><Relationship Id="rId53" Type="http://schemas.openxmlformats.org/officeDocument/2006/relationships/hyperlink" Target="https://krukus-indonesia.blogspot.com/2010/11/chain-2.html" TargetMode="External"/><Relationship Id="rId74" Type="http://schemas.openxmlformats.org/officeDocument/2006/relationships/hyperlink" Target="https://krukus-indonesia.blogspot.com/2010/11/bop-flanges.html" TargetMode="External"/><Relationship Id="rId128" Type="http://schemas.openxmlformats.org/officeDocument/2006/relationships/hyperlink" Target="https://krukus-indonesia.blogspot.com/2010/11/front-pic.html" TargetMode="External"/><Relationship Id="rId149" Type="http://schemas.openxmlformats.org/officeDocument/2006/relationships/hyperlink" Target="https://krukus-indonesia.blogspot.com/2010/11/shaffer-b.html" TargetMode="External"/><Relationship Id="rId5" Type="http://schemas.openxmlformats.org/officeDocument/2006/relationships/hyperlink" Target="https://krukus-indonesia.blogspot.com/2010/11/bop-flanges.html" TargetMode="External"/><Relationship Id="rId95" Type="http://schemas.openxmlformats.org/officeDocument/2006/relationships/hyperlink" Target="https://krukus-indonesia.blogspot.com/2010/11/annular-bop.html" TargetMode="External"/><Relationship Id="rId160" Type="http://schemas.openxmlformats.org/officeDocument/2006/relationships/hyperlink" Target="https://krukus-indonesia.blogspot.com/2010/11/cartridge-metal-bellows.html" TargetMode="External"/><Relationship Id="rId181" Type="http://schemas.openxmlformats.org/officeDocument/2006/relationships/hyperlink" Target="https://krukus-indonesia.blogspot.com/2010/11/chain-2.html" TargetMode="External"/><Relationship Id="rId22" Type="http://schemas.openxmlformats.org/officeDocument/2006/relationships/hyperlink" Target="https://krukus-indonesia.blogspot.com/2010/11/cartridge-metal-bellows.html" TargetMode="External"/><Relationship Id="rId43" Type="http://schemas.openxmlformats.org/officeDocument/2006/relationships/hyperlink" Target="https://krukus-indonesia.blogspot.com/2010/11/spring-plate.html" TargetMode="External"/><Relationship Id="rId64" Type="http://schemas.openxmlformats.org/officeDocument/2006/relationships/hyperlink" Target="https://krukus-indonesia.blogspot.com/2010/11/bop-flanges-s.html" TargetMode="External"/><Relationship Id="rId118" Type="http://schemas.openxmlformats.org/officeDocument/2006/relationships/hyperlink" Target="https://krukus-indonesia.blogspot.com/2010/11/multi-spring.html" TargetMode="External"/><Relationship Id="rId139" Type="http://schemas.openxmlformats.org/officeDocument/2006/relationships/hyperlink" Target="https://krukus-indonesia.blogspot.com/2010/11/no-name-12.html" TargetMode="External"/><Relationship Id="rId85" Type="http://schemas.openxmlformats.org/officeDocument/2006/relationships/hyperlink" Target="https://krukus-indonesia.blogspot.com/2010/11/chain.html" TargetMode="External"/><Relationship Id="rId150" Type="http://schemas.openxmlformats.org/officeDocument/2006/relationships/hyperlink" Target="https://krukus-indonesia.blogspot.com/2010/11/shaffer-l8.html" TargetMode="External"/><Relationship Id="rId171" Type="http://schemas.openxmlformats.org/officeDocument/2006/relationships/hyperlink" Target="https://krukus-indonesia.blogspot.com/2010/11/no-name-6.html" TargetMode="External"/><Relationship Id="rId12" Type="http://schemas.openxmlformats.org/officeDocument/2006/relationships/hyperlink" Target="https://krukus-indonesia.blogspot.com/2010/11/shaffer-l8.html" TargetMode="External"/><Relationship Id="rId33" Type="http://schemas.openxmlformats.org/officeDocument/2006/relationships/hyperlink" Target="https://krukus-indonesia.blogspot.com/2010/11/shaffer.html" TargetMode="External"/><Relationship Id="rId108" Type="http://schemas.openxmlformats.org/officeDocument/2006/relationships/hyperlink" Target="https://krukus-indonesia.blogspot.com/2010/11/chain.html" TargetMode="External"/><Relationship Id="rId129" Type="http://schemas.openxmlformats.org/officeDocument/2006/relationships/hyperlink" Target="https://krukus-indonesia.blogspot.com/2010/11/chain-2.html" TargetMode="External"/><Relationship Id="rId54" Type="http://schemas.openxmlformats.org/officeDocument/2006/relationships/hyperlink" Target="https://krukus-indonesia.blogspot.com/2010/11/chain.html" TargetMode="External"/><Relationship Id="rId75" Type="http://schemas.openxmlformats.org/officeDocument/2006/relationships/hyperlink" Target="https://krukus-indonesia.blogspot.com/2010/11/bop-flanges-s.html" TargetMode="External"/><Relationship Id="rId96" Type="http://schemas.openxmlformats.org/officeDocument/2006/relationships/hyperlink" Target="https://krukus-indonesia.blogspot.com/2010/11/annular-bop-set.html" TargetMode="External"/><Relationship Id="rId140" Type="http://schemas.openxmlformats.org/officeDocument/2006/relationships/hyperlink" Target="https://krukus-indonesia.blogspot.com/2010/11/no-name-6.html" TargetMode="External"/><Relationship Id="rId161" Type="http://schemas.openxmlformats.org/officeDocument/2006/relationships/hyperlink" Target="https://krukus-indonesia.blogspot.com/2010/11/catride-multi-spring.html" TargetMode="External"/><Relationship Id="rId182" Type="http://schemas.openxmlformats.org/officeDocument/2006/relationships/hyperlink" Target="https://krukus-indonesia.blogspot.com/2010/11/dam-chain.html" TargetMode="External"/><Relationship Id="rId6" Type="http://schemas.openxmlformats.org/officeDocument/2006/relationships/hyperlink" Target="https://krukus-indonesia.blogspot.com/2010/11/bop-flanges-s.html" TargetMode="External"/><Relationship Id="rId23" Type="http://schemas.openxmlformats.org/officeDocument/2006/relationships/hyperlink" Target="https://krukus-indonesia.blogspot.com/2010/11/catride-multi-spring.html" TargetMode="External"/><Relationship Id="rId119" Type="http://schemas.openxmlformats.org/officeDocument/2006/relationships/hyperlink" Target="https://krukus-indonesia.blogspot.com/2010/11/cartridge-metal-bellows.html" TargetMode="External"/><Relationship Id="rId44" Type="http://schemas.openxmlformats.org/officeDocument/2006/relationships/hyperlink" Target="https://krukus-indonesia.blogspot.com/2010/11/multi-spring.html" TargetMode="External"/><Relationship Id="rId65" Type="http://schemas.openxmlformats.org/officeDocument/2006/relationships/hyperlink" Target="https://krukus-indonesia.blogspot.com/2010/11/bop-flanges.html" TargetMode="External"/><Relationship Id="rId86" Type="http://schemas.openxmlformats.org/officeDocument/2006/relationships/hyperlink" Target="https://krukus-indonesia.blogspot.com/2010/11/chain-2.html" TargetMode="External"/><Relationship Id="rId130" Type="http://schemas.openxmlformats.org/officeDocument/2006/relationships/hyperlink" Target="https://krukus-indonesia.blogspot.com/2010/11/chain.html" TargetMode="External"/><Relationship Id="rId151" Type="http://schemas.openxmlformats.org/officeDocument/2006/relationships/hyperlink" Target="https://krukus-indonesia.blogspot.com/2010/11/shaffer-s.html" TargetMode="External"/><Relationship Id="rId172" Type="http://schemas.openxmlformats.org/officeDocument/2006/relationships/hyperlink" Target="https://krukus-indonesia.blogspot.com/2010/11/annular-bop.html" TargetMode="External"/><Relationship Id="rId13" Type="http://schemas.openxmlformats.org/officeDocument/2006/relationships/hyperlink" Target="https://krukus-indonesia.blogspot.com/2010/11/shaffer-s.html" TargetMode="External"/><Relationship Id="rId18" Type="http://schemas.openxmlformats.org/officeDocument/2006/relationships/hyperlink" Target="https://krukus-indonesia.blogspot.com/2010/11/dam-chain.html" TargetMode="External"/><Relationship Id="rId39" Type="http://schemas.openxmlformats.org/officeDocument/2006/relationships/hyperlink" Target="https://krukus-indonesia.blogspot.com/2010/11/chain.html" TargetMode="External"/><Relationship Id="rId109" Type="http://schemas.openxmlformats.org/officeDocument/2006/relationships/hyperlink" Target="https://krukus-indonesia.blogspot.com/2010/11/chain-2.html" TargetMode="External"/><Relationship Id="rId34" Type="http://schemas.openxmlformats.org/officeDocument/2006/relationships/hyperlink" Target="https://krukus-indonesia.blogspot.com/2010/11/shaffer-b.html" TargetMode="External"/><Relationship Id="rId50" Type="http://schemas.openxmlformats.org/officeDocument/2006/relationships/hyperlink" Target="https://krukus-indonesia.blogspot.com/2010/11/spring-plate.html" TargetMode="External"/><Relationship Id="rId55" Type="http://schemas.openxmlformats.org/officeDocument/2006/relationships/hyperlink" Target="https://krukus-indonesia.blogspot.com/2010/11/front-pic.html" TargetMode="External"/><Relationship Id="rId76" Type="http://schemas.openxmlformats.org/officeDocument/2006/relationships/hyperlink" Target="https://krukus-indonesia.blogspot.com/2010/11/bop-set.html" TargetMode="External"/><Relationship Id="rId97" Type="http://schemas.openxmlformats.org/officeDocument/2006/relationships/hyperlink" Target="https://krukus-indonesia.blogspot.com/2010/11/bop-flanges.html" TargetMode="External"/><Relationship Id="rId104" Type="http://schemas.openxmlformats.org/officeDocument/2006/relationships/hyperlink" Target="https://krukus-indonesia.blogspot.com/2010/11/shaffer-l8.html" TargetMode="External"/><Relationship Id="rId120" Type="http://schemas.openxmlformats.org/officeDocument/2006/relationships/hyperlink" Target="https://krukus-indonesia.blogspot.com/2010/11/catride-multi-spring.html" TargetMode="External"/><Relationship Id="rId125" Type="http://schemas.openxmlformats.org/officeDocument/2006/relationships/hyperlink" Target="https://krukus-indonesia.blogspot.com/2010/11/shaffer-l8.html" TargetMode="External"/><Relationship Id="rId141" Type="http://schemas.openxmlformats.org/officeDocument/2006/relationships/hyperlink" Target="https://krukus-indonesia.blogspot.com/2010/11/annular-bop.html" TargetMode="External"/><Relationship Id="rId146" Type="http://schemas.openxmlformats.org/officeDocument/2006/relationships/hyperlink" Target="https://krukus-indonesia.blogspot.com/2010/11/hydrils.html" TargetMode="External"/><Relationship Id="rId167" Type="http://schemas.openxmlformats.org/officeDocument/2006/relationships/hyperlink" Target="https://krukus-indonesia.blogspot.com/2010/11/multi-spring.html" TargetMode="External"/><Relationship Id="rId7" Type="http://schemas.openxmlformats.org/officeDocument/2006/relationships/hyperlink" Target="https://krukus-indonesia.blogspot.com/2010/11/bop-set.html" TargetMode="External"/><Relationship Id="rId71" Type="http://schemas.openxmlformats.org/officeDocument/2006/relationships/hyperlink" Target="https://krukus-indonesia.blogspot.com/2010/11/no-name-6.html" TargetMode="External"/><Relationship Id="rId92" Type="http://schemas.openxmlformats.org/officeDocument/2006/relationships/hyperlink" Target="https://krukus-indonesia.blogspot.com/2010/11/catride-multi-spring.html" TargetMode="External"/><Relationship Id="rId162" Type="http://schemas.openxmlformats.org/officeDocument/2006/relationships/hyperlink" Target="https://krukus-indonesia.blogspot.com/2010/11/bop-flanges-s.html" TargetMode="External"/><Relationship Id="rId183" Type="http://schemas.openxmlformats.org/officeDocument/2006/relationships/hyperlink" Target="https://krukus-indonesia.blogspot.com/2010/11/spring-single.html" TargetMode="External"/><Relationship Id="rId2" Type="http://schemas.openxmlformats.org/officeDocument/2006/relationships/hyperlink" Target="https://krukus-indonesia.blogspot.com/2010/11/no-name-6.html" TargetMode="External"/><Relationship Id="rId29" Type="http://schemas.openxmlformats.org/officeDocument/2006/relationships/hyperlink" Target="https://krukus-indonesia.blogspot.com/2010/11/bop-flanges-s.html" TargetMode="External"/><Relationship Id="rId24" Type="http://schemas.openxmlformats.org/officeDocument/2006/relationships/hyperlink" Target="https://krukus-indonesia.blogspot.com/2010/11/no-name-12.html" TargetMode="External"/><Relationship Id="rId40" Type="http://schemas.openxmlformats.org/officeDocument/2006/relationships/hyperlink" Target="https://krukus-indonesia.blogspot.com/2010/11/chain-2.html" TargetMode="External"/><Relationship Id="rId45" Type="http://schemas.openxmlformats.org/officeDocument/2006/relationships/hyperlink" Target="https://krukus-indonesia.blogspot.com/2010/11/cartridge-metal-bellows.html" TargetMode="External"/><Relationship Id="rId66" Type="http://schemas.openxmlformats.org/officeDocument/2006/relationships/hyperlink" Target="https://krukus-indonesia.blogspot.com/2010/11/annular-bop-set.html" TargetMode="External"/><Relationship Id="rId87" Type="http://schemas.openxmlformats.org/officeDocument/2006/relationships/hyperlink" Target="https://krukus-indonesia.blogspot.com/2010/11/dam-chain.html" TargetMode="External"/><Relationship Id="rId110" Type="http://schemas.openxmlformats.org/officeDocument/2006/relationships/hyperlink" Target="https://krukus-indonesia.blogspot.com/2010/11/dam-chain.html" TargetMode="External"/><Relationship Id="rId115" Type="http://schemas.openxmlformats.org/officeDocument/2006/relationships/hyperlink" Target="https://krukus-indonesia.blogspot.com/2010/11/catride-multi-spring.html" TargetMode="External"/><Relationship Id="rId131" Type="http://schemas.openxmlformats.org/officeDocument/2006/relationships/hyperlink" Target="https://krukus-indonesia.blogspot.com/2010/11/spring-single.html" TargetMode="External"/><Relationship Id="rId136" Type="http://schemas.openxmlformats.org/officeDocument/2006/relationships/hyperlink" Target="https://krukus-indonesia.blogspot.com/2010/11/hydrils.html" TargetMode="External"/><Relationship Id="rId157" Type="http://schemas.openxmlformats.org/officeDocument/2006/relationships/hyperlink" Target="https://krukus-indonesia.blogspot.com/2010/11/spring-single.html" TargetMode="External"/><Relationship Id="rId178" Type="http://schemas.openxmlformats.org/officeDocument/2006/relationships/hyperlink" Target="https://krukus-indonesia.blogspot.com/2010/11/shaffer.html" TargetMode="External"/><Relationship Id="rId61" Type="http://schemas.openxmlformats.org/officeDocument/2006/relationships/hyperlink" Target="https://krukus-indonesia.blogspot.com/2010/11/ram.html" TargetMode="External"/><Relationship Id="rId82" Type="http://schemas.openxmlformats.org/officeDocument/2006/relationships/hyperlink" Target="https://krukus-indonesia.blogspot.com/2010/11/shaffer-s.html" TargetMode="External"/><Relationship Id="rId152" Type="http://schemas.openxmlformats.org/officeDocument/2006/relationships/hyperlink" Target="https://krukus-indonesia.blogspot.com/2010/11/mounting.html" TargetMode="External"/><Relationship Id="rId173" Type="http://schemas.openxmlformats.org/officeDocument/2006/relationships/hyperlink" Target="https://krukus-indonesia.blogspot.com/2010/11/annular-bop-set.html" TargetMode="External"/><Relationship Id="rId19" Type="http://schemas.openxmlformats.org/officeDocument/2006/relationships/hyperlink" Target="https://krukus-indonesia.blogspot.com/2010/11/spring-single.html" TargetMode="External"/><Relationship Id="rId14" Type="http://schemas.openxmlformats.org/officeDocument/2006/relationships/hyperlink" Target="https://krukus-indonesia.blogspot.com/2010/11/mounting.html" TargetMode="External"/><Relationship Id="rId30" Type="http://schemas.openxmlformats.org/officeDocument/2006/relationships/hyperlink" Target="https://krukus-indonesia.blogspot.com/2010/11/bop-set.html" TargetMode="External"/><Relationship Id="rId35" Type="http://schemas.openxmlformats.org/officeDocument/2006/relationships/hyperlink" Target="https://krukus-indonesia.blogspot.com/2010/11/shaffer-l8.html" TargetMode="External"/><Relationship Id="rId56" Type="http://schemas.openxmlformats.org/officeDocument/2006/relationships/hyperlink" Target="https://krukus-indonesia.blogspot.com/2010/11/mounting.html" TargetMode="External"/><Relationship Id="rId77" Type="http://schemas.openxmlformats.org/officeDocument/2006/relationships/hyperlink" Target="https://krukus-indonesia.blogspot.com/2010/11/hydrils.html" TargetMode="External"/><Relationship Id="rId100" Type="http://schemas.openxmlformats.org/officeDocument/2006/relationships/hyperlink" Target="https://krukus-indonesia.blogspot.com/2010/11/hydrils.html" TargetMode="External"/><Relationship Id="rId105" Type="http://schemas.openxmlformats.org/officeDocument/2006/relationships/hyperlink" Target="https://krukus-indonesia.blogspot.com/2010/11/shaffer-s.html" TargetMode="External"/><Relationship Id="rId126" Type="http://schemas.openxmlformats.org/officeDocument/2006/relationships/hyperlink" Target="https://krukus-indonesia.blogspot.com/2010/11/shaffer-s.html" TargetMode="External"/><Relationship Id="rId147" Type="http://schemas.openxmlformats.org/officeDocument/2006/relationships/hyperlink" Target="https://krukus-indonesia.blogspot.com/2010/11/ram.html" TargetMode="External"/><Relationship Id="rId168" Type="http://schemas.openxmlformats.org/officeDocument/2006/relationships/hyperlink" Target="https://krukus-indonesia.blogspot.com/2010/11/cartridge-metal-bellows.html" TargetMode="External"/><Relationship Id="rId8" Type="http://schemas.openxmlformats.org/officeDocument/2006/relationships/hyperlink" Target="https://krukus-indonesia.blogspot.com/2010/11/hydrils.html" TargetMode="External"/><Relationship Id="rId51" Type="http://schemas.openxmlformats.org/officeDocument/2006/relationships/hyperlink" Target="https://krukus-indonesia.blogspot.com/2010/11/spring-single.html" TargetMode="External"/><Relationship Id="rId72" Type="http://schemas.openxmlformats.org/officeDocument/2006/relationships/hyperlink" Target="https://krukus-indonesia.blogspot.com/2010/11/annular-bop.html" TargetMode="External"/><Relationship Id="rId93" Type="http://schemas.openxmlformats.org/officeDocument/2006/relationships/hyperlink" Target="https://krukus-indonesia.blogspot.com/2010/11/no-name-12.html" TargetMode="External"/><Relationship Id="rId98" Type="http://schemas.openxmlformats.org/officeDocument/2006/relationships/hyperlink" Target="https://krukus-indonesia.blogspot.com/2010/11/bop-flanges-s.html" TargetMode="External"/><Relationship Id="rId121" Type="http://schemas.openxmlformats.org/officeDocument/2006/relationships/hyperlink" Target="https://krukus-indonesia.blogspot.com/2010/11/no-name-12.html" TargetMode="External"/><Relationship Id="rId142" Type="http://schemas.openxmlformats.org/officeDocument/2006/relationships/hyperlink" Target="https://krukus-indonesia.blogspot.com/2010/11/annular-bop-set.html" TargetMode="External"/><Relationship Id="rId163" Type="http://schemas.openxmlformats.org/officeDocument/2006/relationships/hyperlink" Target="https://krukus-indonesia.blogspot.com/2010/11/shaffer-l8.html" TargetMode="External"/><Relationship Id="rId184" Type="http://schemas.openxmlformats.org/officeDocument/2006/relationships/hyperlink" Target="https://krukus-indonesia.blogspot.com/2010/11/front-pic.html" TargetMode="External"/><Relationship Id="rId3" Type="http://schemas.openxmlformats.org/officeDocument/2006/relationships/hyperlink" Target="https://krukus-indonesia.blogspot.com/2010/11/annular-bop.html" TargetMode="External"/><Relationship Id="rId25" Type="http://schemas.openxmlformats.org/officeDocument/2006/relationships/hyperlink" Target="https://krukus-indonesia.blogspot.com/2010/11/no-name-6.html" TargetMode="External"/><Relationship Id="rId46" Type="http://schemas.openxmlformats.org/officeDocument/2006/relationships/hyperlink" Target="https://krukus-indonesia.blogspot.com/2010/11/catride-multi-spring.html" TargetMode="External"/><Relationship Id="rId67" Type="http://schemas.openxmlformats.org/officeDocument/2006/relationships/hyperlink" Target="https://krukus-indonesia.blogspot.com/2010/11/annular-bop.html" TargetMode="External"/><Relationship Id="rId116" Type="http://schemas.openxmlformats.org/officeDocument/2006/relationships/hyperlink" Target="https://krukus-indonesia.blogspot.com/2010/11/dam-chain.html" TargetMode="External"/><Relationship Id="rId137" Type="http://schemas.openxmlformats.org/officeDocument/2006/relationships/hyperlink" Target="https://krukus-indonesia.blogspot.com/2010/11/ram.html" TargetMode="External"/><Relationship Id="rId158" Type="http://schemas.openxmlformats.org/officeDocument/2006/relationships/hyperlink" Target="https://krukus-indonesia.blogspot.com/2010/11/spring-plate.html" TargetMode="External"/><Relationship Id="rId20" Type="http://schemas.openxmlformats.org/officeDocument/2006/relationships/hyperlink" Target="https://krukus-indonesia.blogspot.com/2010/11/spring-plate.html" TargetMode="External"/><Relationship Id="rId41" Type="http://schemas.openxmlformats.org/officeDocument/2006/relationships/hyperlink" Target="https://krukus-indonesia.blogspot.com/2010/11/dam-chain.html" TargetMode="External"/><Relationship Id="rId62" Type="http://schemas.openxmlformats.org/officeDocument/2006/relationships/hyperlink" Target="https://krukus-indonesia.blogspot.com/2010/11/hydrils.html" TargetMode="External"/><Relationship Id="rId83" Type="http://schemas.openxmlformats.org/officeDocument/2006/relationships/hyperlink" Target="https://krukus-indonesia.blogspot.com/2010/11/mounting.html" TargetMode="External"/><Relationship Id="rId88" Type="http://schemas.openxmlformats.org/officeDocument/2006/relationships/hyperlink" Target="https://krukus-indonesia.blogspot.com/2010/11/spring-single.html" TargetMode="External"/><Relationship Id="rId111" Type="http://schemas.openxmlformats.org/officeDocument/2006/relationships/hyperlink" Target="https://krukus-indonesia.blogspot.com/2010/11/spring-single.html" TargetMode="External"/><Relationship Id="rId132" Type="http://schemas.openxmlformats.org/officeDocument/2006/relationships/hyperlink" Target="https://krukus-indonesia.blogspot.com/2010/11/annular-bop-set.html" TargetMode="External"/><Relationship Id="rId153" Type="http://schemas.openxmlformats.org/officeDocument/2006/relationships/hyperlink" Target="https://krukus-indonesia.blogspot.com/2010/11/front-pic.html" TargetMode="External"/><Relationship Id="rId174" Type="http://schemas.openxmlformats.org/officeDocument/2006/relationships/hyperlink" Target="https://krukus-indonesia.blogspot.com/2010/11/bop-flanges.html" TargetMode="External"/><Relationship Id="rId179" Type="http://schemas.openxmlformats.org/officeDocument/2006/relationships/hyperlink" Target="https://krukus-indonesia.blogspot.com/2010/11/shaffer-b.html" TargetMode="External"/><Relationship Id="rId15" Type="http://schemas.openxmlformats.org/officeDocument/2006/relationships/hyperlink" Target="https://krukus-indonesia.blogspot.com/2010/11/front-pic.html" TargetMode="External"/><Relationship Id="rId36" Type="http://schemas.openxmlformats.org/officeDocument/2006/relationships/hyperlink" Target="https://krukus-indonesia.blogspot.com/2010/11/shaffer-s.html" TargetMode="External"/><Relationship Id="rId57" Type="http://schemas.openxmlformats.org/officeDocument/2006/relationships/hyperlink" Target="https://krukus-indonesia.blogspot.com/2010/11/shaffer-s.html" TargetMode="External"/><Relationship Id="rId106" Type="http://schemas.openxmlformats.org/officeDocument/2006/relationships/hyperlink" Target="https://krukus-indonesia.blogspot.com/2010/11/mounting.html" TargetMode="External"/><Relationship Id="rId127" Type="http://schemas.openxmlformats.org/officeDocument/2006/relationships/hyperlink" Target="https://krukus-indonesia.blogspot.com/2010/11/mounting.html" TargetMode="External"/><Relationship Id="rId10" Type="http://schemas.openxmlformats.org/officeDocument/2006/relationships/hyperlink" Target="https://krukus-indonesia.blogspot.com/2010/11/shaffer.html" TargetMode="External"/><Relationship Id="rId31" Type="http://schemas.openxmlformats.org/officeDocument/2006/relationships/hyperlink" Target="https://krukus-indonesia.blogspot.com/2010/11/hydrils.html" TargetMode="External"/><Relationship Id="rId52" Type="http://schemas.openxmlformats.org/officeDocument/2006/relationships/hyperlink" Target="https://krukus-indonesia.blogspot.com/2010/11/dam-chain.html" TargetMode="External"/><Relationship Id="rId73" Type="http://schemas.openxmlformats.org/officeDocument/2006/relationships/hyperlink" Target="https://krukus-indonesia.blogspot.com/2010/11/annular-bop-set.html" TargetMode="External"/><Relationship Id="rId78" Type="http://schemas.openxmlformats.org/officeDocument/2006/relationships/hyperlink" Target="https://krukus-indonesia.blogspot.com/2010/11/ram.html" TargetMode="External"/><Relationship Id="rId94" Type="http://schemas.openxmlformats.org/officeDocument/2006/relationships/hyperlink" Target="https://krukus-indonesia.blogspot.com/2010/11/no-name-6.html" TargetMode="External"/><Relationship Id="rId99" Type="http://schemas.openxmlformats.org/officeDocument/2006/relationships/hyperlink" Target="https://krukus-indonesia.blogspot.com/2010/11/bop-set.html" TargetMode="External"/><Relationship Id="rId101" Type="http://schemas.openxmlformats.org/officeDocument/2006/relationships/hyperlink" Target="https://krukus-indonesia.blogspot.com/2010/11/ram.html" TargetMode="External"/><Relationship Id="rId122" Type="http://schemas.openxmlformats.org/officeDocument/2006/relationships/hyperlink" Target="https://krukus-indonesia.blogspot.com/2010/11/no-name-6.html" TargetMode="External"/><Relationship Id="rId143" Type="http://schemas.openxmlformats.org/officeDocument/2006/relationships/hyperlink" Target="https://krukus-indonesia.blogspot.com/2010/11/bop-flanges.html" TargetMode="External"/><Relationship Id="rId148" Type="http://schemas.openxmlformats.org/officeDocument/2006/relationships/hyperlink" Target="https://krukus-indonesia.blogspot.com/2010/11/shaffer.html" TargetMode="External"/><Relationship Id="rId164" Type="http://schemas.openxmlformats.org/officeDocument/2006/relationships/hyperlink" Target="https://krukus-indonesia.blogspot.com/2010/11/shaffer-s.html" TargetMode="External"/><Relationship Id="rId169" Type="http://schemas.openxmlformats.org/officeDocument/2006/relationships/hyperlink" Target="https://krukus-indonesia.blogspot.com/2010/11/catride-multi-spring.html" TargetMode="External"/><Relationship Id="rId185" Type="http://schemas.openxmlformats.org/officeDocument/2006/relationships/printerSettings" Target="../printerSettings/printerSettings2.bin"/><Relationship Id="rId4" Type="http://schemas.openxmlformats.org/officeDocument/2006/relationships/hyperlink" Target="https://krukus-indonesia.blogspot.com/2010/11/annular-bop-set.html" TargetMode="External"/><Relationship Id="rId9" Type="http://schemas.openxmlformats.org/officeDocument/2006/relationships/hyperlink" Target="https://krukus-indonesia.blogspot.com/2010/11/ram.html" TargetMode="External"/><Relationship Id="rId180" Type="http://schemas.openxmlformats.org/officeDocument/2006/relationships/hyperlink" Target="https://krukus-indonesia.blogspot.com/2010/11/mounting.html" TargetMode="External"/><Relationship Id="rId26" Type="http://schemas.openxmlformats.org/officeDocument/2006/relationships/hyperlink" Target="https://krukus-indonesia.blogspot.com/2010/11/annular-bop.html" TargetMode="External"/><Relationship Id="rId47" Type="http://schemas.openxmlformats.org/officeDocument/2006/relationships/hyperlink" Target="https://krukus-indonesia.blogspot.com/2010/11/catride-multi-spring.html" TargetMode="External"/><Relationship Id="rId68" Type="http://schemas.openxmlformats.org/officeDocument/2006/relationships/hyperlink" Target="https://krukus-indonesia.blogspot.com/2010/11/no-name-6.html" TargetMode="External"/><Relationship Id="rId89" Type="http://schemas.openxmlformats.org/officeDocument/2006/relationships/hyperlink" Target="https://krukus-indonesia.blogspot.com/2010/11/spring-plate.html" TargetMode="External"/><Relationship Id="rId112" Type="http://schemas.openxmlformats.org/officeDocument/2006/relationships/hyperlink" Target="https://krukus-indonesia.blogspot.com/2010/11/spring-plate.html" TargetMode="External"/><Relationship Id="rId133" Type="http://schemas.openxmlformats.org/officeDocument/2006/relationships/hyperlink" Target="https://krukus-indonesia.blogspot.com/2010/11/bop-flanges.html" TargetMode="External"/><Relationship Id="rId154" Type="http://schemas.openxmlformats.org/officeDocument/2006/relationships/hyperlink" Target="https://krukus-indonesia.blogspot.com/2010/11/chain.html" TargetMode="External"/><Relationship Id="rId175" Type="http://schemas.openxmlformats.org/officeDocument/2006/relationships/hyperlink" Target="https://krukus-indonesia.blogspot.com/2010/11/bop-set.html" TargetMode="External"/><Relationship Id="rId16" Type="http://schemas.openxmlformats.org/officeDocument/2006/relationships/hyperlink" Target="https://krukus-indonesia.blogspot.com/2010/11/chain.html" TargetMode="External"/><Relationship Id="rId37" Type="http://schemas.openxmlformats.org/officeDocument/2006/relationships/hyperlink" Target="https://krukus-indonesia.blogspot.com/2010/11/mounting.html" TargetMode="External"/><Relationship Id="rId58" Type="http://schemas.openxmlformats.org/officeDocument/2006/relationships/hyperlink" Target="https://krukus-indonesia.blogspot.com/2010/11/shaffer-l8.html" TargetMode="External"/><Relationship Id="rId79" Type="http://schemas.openxmlformats.org/officeDocument/2006/relationships/hyperlink" Target="https://krukus-indonesia.blogspot.com/2010/11/shaffer.html" TargetMode="External"/><Relationship Id="rId102" Type="http://schemas.openxmlformats.org/officeDocument/2006/relationships/hyperlink" Target="https://krukus-indonesia.blogspot.com/2010/11/shaffer.html" TargetMode="External"/><Relationship Id="rId123" Type="http://schemas.openxmlformats.org/officeDocument/2006/relationships/hyperlink" Target="https://krukus-indonesia.blogspot.com/2010/11/annular-bop.html" TargetMode="External"/><Relationship Id="rId144" Type="http://schemas.openxmlformats.org/officeDocument/2006/relationships/hyperlink" Target="https://krukus-indonesia.blogspot.com/2010/11/bop-flanges-s.html" TargetMode="External"/><Relationship Id="rId90" Type="http://schemas.openxmlformats.org/officeDocument/2006/relationships/hyperlink" Target="https://krukus-indonesia.blogspot.com/2010/11/multi-spring.html" TargetMode="External"/><Relationship Id="rId165" Type="http://schemas.openxmlformats.org/officeDocument/2006/relationships/hyperlink" Target="https://krukus-indonesia.blogspot.com/2010/11/chain.html" TargetMode="External"/><Relationship Id="rId27" Type="http://schemas.openxmlformats.org/officeDocument/2006/relationships/hyperlink" Target="https://krukus-indonesia.blogspot.com/2010/11/annular-bop-set.html" TargetMode="External"/><Relationship Id="rId48" Type="http://schemas.openxmlformats.org/officeDocument/2006/relationships/hyperlink" Target="https://krukus-indonesia.blogspot.com/2010/11/cartridge-metal-bellows.html" TargetMode="External"/><Relationship Id="rId69" Type="http://schemas.openxmlformats.org/officeDocument/2006/relationships/hyperlink" Target="https://krukus-indonesia.blogspot.com/2010/11/no-name-12.html" TargetMode="External"/><Relationship Id="rId113" Type="http://schemas.openxmlformats.org/officeDocument/2006/relationships/hyperlink" Target="https://krukus-indonesia.blogspot.com/2010/11/multi-spring.html" TargetMode="External"/><Relationship Id="rId134" Type="http://schemas.openxmlformats.org/officeDocument/2006/relationships/hyperlink" Target="https://krukus-indonesia.blogspot.com/2010/11/bop-flanges-s.html" TargetMode="External"/><Relationship Id="rId80" Type="http://schemas.openxmlformats.org/officeDocument/2006/relationships/hyperlink" Target="https://krukus-indonesia.blogspot.com/2010/11/shaffer-b.html" TargetMode="External"/><Relationship Id="rId155" Type="http://schemas.openxmlformats.org/officeDocument/2006/relationships/hyperlink" Target="https://krukus-indonesia.blogspot.com/2010/11/chain-2.html" TargetMode="External"/><Relationship Id="rId176" Type="http://schemas.openxmlformats.org/officeDocument/2006/relationships/hyperlink" Target="https://krukus-indonesia.blogspot.com/2010/11/hydrils.html" TargetMode="External"/><Relationship Id="rId17" Type="http://schemas.openxmlformats.org/officeDocument/2006/relationships/hyperlink" Target="https://krukus-indonesia.blogspot.com/2010/11/chain-2.html" TargetMode="External"/><Relationship Id="rId38" Type="http://schemas.openxmlformats.org/officeDocument/2006/relationships/hyperlink" Target="https://krukus-indonesia.blogspot.com/2010/11/front-pic.html" TargetMode="External"/><Relationship Id="rId59" Type="http://schemas.openxmlformats.org/officeDocument/2006/relationships/hyperlink" Target="https://krukus-indonesia.blogspot.com/2010/11/shaffer-b.html" TargetMode="External"/><Relationship Id="rId103" Type="http://schemas.openxmlformats.org/officeDocument/2006/relationships/hyperlink" Target="https://krukus-indonesia.blogspot.com/2010/11/shaffer-b.html" TargetMode="External"/><Relationship Id="rId124" Type="http://schemas.openxmlformats.org/officeDocument/2006/relationships/hyperlink" Target="https://krukus-indonesia.blogspot.com/2010/11/shaffer.html" TargetMode="External"/><Relationship Id="rId70" Type="http://schemas.openxmlformats.org/officeDocument/2006/relationships/hyperlink" Target="https://krukus-indonesia.blogspot.com/2010/11/no-name-12.html" TargetMode="External"/><Relationship Id="rId91" Type="http://schemas.openxmlformats.org/officeDocument/2006/relationships/hyperlink" Target="https://krukus-indonesia.blogspot.com/2010/11/cartridge-metal-bellows.html" TargetMode="External"/><Relationship Id="rId145" Type="http://schemas.openxmlformats.org/officeDocument/2006/relationships/hyperlink" Target="https://krukus-indonesia.blogspot.com/2010/11/bop-set.html" TargetMode="External"/><Relationship Id="rId166" Type="http://schemas.openxmlformats.org/officeDocument/2006/relationships/hyperlink" Target="https://krukus-indonesia.blogspot.com/2010/11/spring-plate.html" TargetMode="External"/><Relationship Id="rId1" Type="http://schemas.openxmlformats.org/officeDocument/2006/relationships/hyperlink" Target="https://krukus-indonesia.blogspot.com/2010/11/no-name-12.html" TargetMode="External"/><Relationship Id="rId28" Type="http://schemas.openxmlformats.org/officeDocument/2006/relationships/hyperlink" Target="https://krukus-indonesia.blogspot.com/2010/11/bop-flanges.html" TargetMode="External"/><Relationship Id="rId49" Type="http://schemas.openxmlformats.org/officeDocument/2006/relationships/hyperlink" Target="https://krukus-indonesia.blogspot.com/2010/11/multi-spring.html" TargetMode="External"/><Relationship Id="rId114" Type="http://schemas.openxmlformats.org/officeDocument/2006/relationships/hyperlink" Target="https://krukus-indonesia.blogspot.com/2010/11/cartridge-metal-bellows.html" TargetMode="External"/><Relationship Id="rId60" Type="http://schemas.openxmlformats.org/officeDocument/2006/relationships/hyperlink" Target="https://krukus-indonesia.blogspot.com/2010/11/shaffer.html" TargetMode="External"/><Relationship Id="rId81" Type="http://schemas.openxmlformats.org/officeDocument/2006/relationships/hyperlink" Target="https://krukus-indonesia.blogspot.com/2010/11/shaffer-l8.html" TargetMode="External"/><Relationship Id="rId135" Type="http://schemas.openxmlformats.org/officeDocument/2006/relationships/hyperlink" Target="https://krukus-indonesia.blogspot.com/2010/11/bop-set.html" TargetMode="External"/><Relationship Id="rId156" Type="http://schemas.openxmlformats.org/officeDocument/2006/relationships/hyperlink" Target="https://krukus-indonesia.blogspot.com/2010/11/dam-chain.html" TargetMode="External"/><Relationship Id="rId177" Type="http://schemas.openxmlformats.org/officeDocument/2006/relationships/hyperlink" Target="https://krukus-indonesia.blogspot.com/2010/11/ram.html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krukus-indonesia.blogspot.com/2010/11/hydrils.html" TargetMode="External"/><Relationship Id="rId13" Type="http://schemas.openxmlformats.org/officeDocument/2006/relationships/hyperlink" Target="https://krukus-indonesia.blogspot.com/2010/11/shaffer-s.html" TargetMode="External"/><Relationship Id="rId18" Type="http://schemas.openxmlformats.org/officeDocument/2006/relationships/hyperlink" Target="https://krukus-indonesia.blogspot.com/2010/11/dam-chain.html" TargetMode="External"/><Relationship Id="rId3" Type="http://schemas.openxmlformats.org/officeDocument/2006/relationships/hyperlink" Target="https://krukus-indonesia.blogspot.com/2010/11/annular-bop.html" TargetMode="External"/><Relationship Id="rId21" Type="http://schemas.openxmlformats.org/officeDocument/2006/relationships/hyperlink" Target="https://krukus-indonesia.blogspot.com/2010/11/multi-spring.html" TargetMode="External"/><Relationship Id="rId7" Type="http://schemas.openxmlformats.org/officeDocument/2006/relationships/hyperlink" Target="https://krukus-indonesia.blogspot.com/2010/11/bop-set.html" TargetMode="External"/><Relationship Id="rId12" Type="http://schemas.openxmlformats.org/officeDocument/2006/relationships/hyperlink" Target="https://krukus-indonesia.blogspot.com/2010/11/shaffer-l8.html" TargetMode="External"/><Relationship Id="rId17" Type="http://schemas.openxmlformats.org/officeDocument/2006/relationships/hyperlink" Target="https://krukus-indonesia.blogspot.com/2010/11/chain-2.html" TargetMode="External"/><Relationship Id="rId2" Type="http://schemas.openxmlformats.org/officeDocument/2006/relationships/hyperlink" Target="https://krukus-indonesia.blogspot.com/2010/11/no-name-6.html" TargetMode="External"/><Relationship Id="rId16" Type="http://schemas.openxmlformats.org/officeDocument/2006/relationships/hyperlink" Target="https://krukus-indonesia.blogspot.com/2010/11/chain.html" TargetMode="External"/><Relationship Id="rId20" Type="http://schemas.openxmlformats.org/officeDocument/2006/relationships/hyperlink" Target="https://krukus-indonesia.blogspot.com/2010/11/spring-plate.html" TargetMode="External"/><Relationship Id="rId1" Type="http://schemas.openxmlformats.org/officeDocument/2006/relationships/hyperlink" Target="https://krukus-indonesia.blogspot.com/2010/11/no-name-12.html" TargetMode="External"/><Relationship Id="rId6" Type="http://schemas.openxmlformats.org/officeDocument/2006/relationships/hyperlink" Target="https://krukus-indonesia.blogspot.com/2010/11/bop-flanges-s.html" TargetMode="External"/><Relationship Id="rId11" Type="http://schemas.openxmlformats.org/officeDocument/2006/relationships/hyperlink" Target="https://krukus-indonesia.blogspot.com/2010/11/shaffer-b.html" TargetMode="External"/><Relationship Id="rId24" Type="http://schemas.openxmlformats.org/officeDocument/2006/relationships/printerSettings" Target="../printerSettings/printerSettings3.bin"/><Relationship Id="rId5" Type="http://schemas.openxmlformats.org/officeDocument/2006/relationships/hyperlink" Target="https://krukus-indonesia.blogspot.com/2010/11/bop-flanges.html" TargetMode="External"/><Relationship Id="rId15" Type="http://schemas.openxmlformats.org/officeDocument/2006/relationships/hyperlink" Target="https://krukus-indonesia.blogspot.com/2010/11/front-pic.html" TargetMode="External"/><Relationship Id="rId23" Type="http://schemas.openxmlformats.org/officeDocument/2006/relationships/hyperlink" Target="https://krukus-indonesia.blogspot.com/2010/11/catride-multi-spring.html" TargetMode="External"/><Relationship Id="rId10" Type="http://schemas.openxmlformats.org/officeDocument/2006/relationships/hyperlink" Target="https://krukus-indonesia.blogspot.com/2010/11/shaffer.html" TargetMode="External"/><Relationship Id="rId19" Type="http://schemas.openxmlformats.org/officeDocument/2006/relationships/hyperlink" Target="https://krukus-indonesia.blogspot.com/2010/11/spring-single.html" TargetMode="External"/><Relationship Id="rId4" Type="http://schemas.openxmlformats.org/officeDocument/2006/relationships/hyperlink" Target="https://krukus-indonesia.blogspot.com/2010/11/annular-bop-set.html" TargetMode="External"/><Relationship Id="rId9" Type="http://schemas.openxmlformats.org/officeDocument/2006/relationships/hyperlink" Target="https://krukus-indonesia.blogspot.com/2010/11/ram.html" TargetMode="External"/><Relationship Id="rId14" Type="http://schemas.openxmlformats.org/officeDocument/2006/relationships/hyperlink" Target="https://krukus-indonesia.blogspot.com/2010/11/mounting.html" TargetMode="External"/><Relationship Id="rId22" Type="http://schemas.openxmlformats.org/officeDocument/2006/relationships/hyperlink" Target="https://krukus-indonesia.blogspot.com/2010/11/cartridge-metal-bellows.html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krukus-indonesia.blogspot.com/2010/11/shaffer-s.html" TargetMode="External"/><Relationship Id="rId18" Type="http://schemas.openxmlformats.org/officeDocument/2006/relationships/hyperlink" Target="https://krukus-indonesia.blogspot.com/2010/11/dam-chain.html" TargetMode="External"/><Relationship Id="rId26" Type="http://schemas.openxmlformats.org/officeDocument/2006/relationships/hyperlink" Target="https://krukus-indonesia.blogspot.com/2010/11/shaffer-s.html" TargetMode="External"/><Relationship Id="rId39" Type="http://schemas.openxmlformats.org/officeDocument/2006/relationships/hyperlink" Target="https://krukus-indonesia.blogspot.com/2010/11/ram.html" TargetMode="External"/><Relationship Id="rId21" Type="http://schemas.openxmlformats.org/officeDocument/2006/relationships/hyperlink" Target="https://krukus-indonesia.blogspot.com/2010/11/multi-spring.html" TargetMode="External"/><Relationship Id="rId34" Type="http://schemas.openxmlformats.org/officeDocument/2006/relationships/hyperlink" Target="https://krukus-indonesia.blogspot.com/2010/11/annular-bop.html" TargetMode="External"/><Relationship Id="rId42" Type="http://schemas.openxmlformats.org/officeDocument/2006/relationships/hyperlink" Target="https://krukus-indonesia.blogspot.com/2010/11/mounting.html" TargetMode="External"/><Relationship Id="rId47" Type="http://schemas.openxmlformats.org/officeDocument/2006/relationships/printerSettings" Target="../printerSettings/printerSettings4.bin"/><Relationship Id="rId7" Type="http://schemas.openxmlformats.org/officeDocument/2006/relationships/hyperlink" Target="https://krukus-indonesia.blogspot.com/2010/11/bop-set.html" TargetMode="External"/><Relationship Id="rId2" Type="http://schemas.openxmlformats.org/officeDocument/2006/relationships/hyperlink" Target="https://krukus-indonesia.blogspot.com/2010/11/no-name-6.html" TargetMode="External"/><Relationship Id="rId16" Type="http://schemas.openxmlformats.org/officeDocument/2006/relationships/hyperlink" Target="https://krukus-indonesia.blogspot.com/2010/11/chain.html" TargetMode="External"/><Relationship Id="rId29" Type="http://schemas.openxmlformats.org/officeDocument/2006/relationships/hyperlink" Target="https://krukus-indonesia.blogspot.com/2010/11/multi-spring.html" TargetMode="External"/><Relationship Id="rId1" Type="http://schemas.openxmlformats.org/officeDocument/2006/relationships/hyperlink" Target="https://krukus-indonesia.blogspot.com/2010/11/no-name-12.html" TargetMode="External"/><Relationship Id="rId6" Type="http://schemas.openxmlformats.org/officeDocument/2006/relationships/hyperlink" Target="https://krukus-indonesia.blogspot.com/2010/11/bop-flanges-s.html" TargetMode="External"/><Relationship Id="rId11" Type="http://schemas.openxmlformats.org/officeDocument/2006/relationships/hyperlink" Target="https://krukus-indonesia.blogspot.com/2010/11/shaffer-b.html" TargetMode="External"/><Relationship Id="rId24" Type="http://schemas.openxmlformats.org/officeDocument/2006/relationships/hyperlink" Target="https://krukus-indonesia.blogspot.com/2010/11/bop-flanges-s.html" TargetMode="External"/><Relationship Id="rId32" Type="http://schemas.openxmlformats.org/officeDocument/2006/relationships/hyperlink" Target="https://krukus-indonesia.blogspot.com/2010/11/no-name-12.html" TargetMode="External"/><Relationship Id="rId37" Type="http://schemas.openxmlformats.org/officeDocument/2006/relationships/hyperlink" Target="https://krukus-indonesia.blogspot.com/2010/11/bop-set.html" TargetMode="External"/><Relationship Id="rId40" Type="http://schemas.openxmlformats.org/officeDocument/2006/relationships/hyperlink" Target="https://krukus-indonesia.blogspot.com/2010/11/shaffer.html" TargetMode="External"/><Relationship Id="rId45" Type="http://schemas.openxmlformats.org/officeDocument/2006/relationships/hyperlink" Target="https://krukus-indonesia.blogspot.com/2010/11/spring-single.html" TargetMode="External"/><Relationship Id="rId5" Type="http://schemas.openxmlformats.org/officeDocument/2006/relationships/hyperlink" Target="https://krukus-indonesia.blogspot.com/2010/11/bop-flanges.html" TargetMode="External"/><Relationship Id="rId15" Type="http://schemas.openxmlformats.org/officeDocument/2006/relationships/hyperlink" Target="https://krukus-indonesia.blogspot.com/2010/11/front-pic.html" TargetMode="External"/><Relationship Id="rId23" Type="http://schemas.openxmlformats.org/officeDocument/2006/relationships/hyperlink" Target="https://krukus-indonesia.blogspot.com/2010/11/catride-multi-spring.html" TargetMode="External"/><Relationship Id="rId28" Type="http://schemas.openxmlformats.org/officeDocument/2006/relationships/hyperlink" Target="https://krukus-indonesia.blogspot.com/2010/11/spring-plate.html" TargetMode="External"/><Relationship Id="rId36" Type="http://schemas.openxmlformats.org/officeDocument/2006/relationships/hyperlink" Target="https://krukus-indonesia.blogspot.com/2010/11/bop-flanges.html" TargetMode="External"/><Relationship Id="rId10" Type="http://schemas.openxmlformats.org/officeDocument/2006/relationships/hyperlink" Target="https://krukus-indonesia.blogspot.com/2010/11/shaffer.html" TargetMode="External"/><Relationship Id="rId19" Type="http://schemas.openxmlformats.org/officeDocument/2006/relationships/hyperlink" Target="https://krukus-indonesia.blogspot.com/2010/11/spring-single.html" TargetMode="External"/><Relationship Id="rId31" Type="http://schemas.openxmlformats.org/officeDocument/2006/relationships/hyperlink" Target="https://krukus-indonesia.blogspot.com/2010/11/catride-multi-spring.html" TargetMode="External"/><Relationship Id="rId44" Type="http://schemas.openxmlformats.org/officeDocument/2006/relationships/hyperlink" Target="https://krukus-indonesia.blogspot.com/2010/11/dam-chain.html" TargetMode="External"/><Relationship Id="rId4" Type="http://schemas.openxmlformats.org/officeDocument/2006/relationships/hyperlink" Target="https://krukus-indonesia.blogspot.com/2010/11/annular-bop-set.html" TargetMode="External"/><Relationship Id="rId9" Type="http://schemas.openxmlformats.org/officeDocument/2006/relationships/hyperlink" Target="https://krukus-indonesia.blogspot.com/2010/11/ram.html" TargetMode="External"/><Relationship Id="rId14" Type="http://schemas.openxmlformats.org/officeDocument/2006/relationships/hyperlink" Target="https://krukus-indonesia.blogspot.com/2010/11/mounting.html" TargetMode="External"/><Relationship Id="rId22" Type="http://schemas.openxmlformats.org/officeDocument/2006/relationships/hyperlink" Target="https://krukus-indonesia.blogspot.com/2010/11/cartridge-metal-bellows.html" TargetMode="External"/><Relationship Id="rId27" Type="http://schemas.openxmlformats.org/officeDocument/2006/relationships/hyperlink" Target="https://krukus-indonesia.blogspot.com/2010/11/chain.html" TargetMode="External"/><Relationship Id="rId30" Type="http://schemas.openxmlformats.org/officeDocument/2006/relationships/hyperlink" Target="https://krukus-indonesia.blogspot.com/2010/11/cartridge-metal-bellows.html" TargetMode="External"/><Relationship Id="rId35" Type="http://schemas.openxmlformats.org/officeDocument/2006/relationships/hyperlink" Target="https://krukus-indonesia.blogspot.com/2010/11/annular-bop-set.html" TargetMode="External"/><Relationship Id="rId43" Type="http://schemas.openxmlformats.org/officeDocument/2006/relationships/hyperlink" Target="https://krukus-indonesia.blogspot.com/2010/11/chain-2.html" TargetMode="External"/><Relationship Id="rId8" Type="http://schemas.openxmlformats.org/officeDocument/2006/relationships/hyperlink" Target="https://krukus-indonesia.blogspot.com/2010/11/hydrils.html" TargetMode="External"/><Relationship Id="rId3" Type="http://schemas.openxmlformats.org/officeDocument/2006/relationships/hyperlink" Target="https://krukus-indonesia.blogspot.com/2010/11/annular-bop.html" TargetMode="External"/><Relationship Id="rId12" Type="http://schemas.openxmlformats.org/officeDocument/2006/relationships/hyperlink" Target="https://krukus-indonesia.blogspot.com/2010/11/shaffer-l8.html" TargetMode="External"/><Relationship Id="rId17" Type="http://schemas.openxmlformats.org/officeDocument/2006/relationships/hyperlink" Target="https://krukus-indonesia.blogspot.com/2010/11/chain-2.html" TargetMode="External"/><Relationship Id="rId25" Type="http://schemas.openxmlformats.org/officeDocument/2006/relationships/hyperlink" Target="https://krukus-indonesia.blogspot.com/2010/11/shaffer-l8.html" TargetMode="External"/><Relationship Id="rId33" Type="http://schemas.openxmlformats.org/officeDocument/2006/relationships/hyperlink" Target="https://krukus-indonesia.blogspot.com/2010/11/no-name-6.html" TargetMode="External"/><Relationship Id="rId38" Type="http://schemas.openxmlformats.org/officeDocument/2006/relationships/hyperlink" Target="https://krukus-indonesia.blogspot.com/2010/11/hydrils.html" TargetMode="External"/><Relationship Id="rId46" Type="http://schemas.openxmlformats.org/officeDocument/2006/relationships/hyperlink" Target="https://krukus-indonesia.blogspot.com/2010/11/front-pic.html" TargetMode="External"/><Relationship Id="rId20" Type="http://schemas.openxmlformats.org/officeDocument/2006/relationships/hyperlink" Target="https://krukus-indonesia.blogspot.com/2010/11/spring-plate.html" TargetMode="External"/><Relationship Id="rId41" Type="http://schemas.openxmlformats.org/officeDocument/2006/relationships/hyperlink" Target="https://krukus-indonesia.blogspot.com/2010/11/shaffer-b.html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krukus-indonesia.blogspot.com/2010/11/annular-bop.html" TargetMode="External"/><Relationship Id="rId13" Type="http://schemas.openxmlformats.org/officeDocument/2006/relationships/hyperlink" Target="https://krukus-indonesia.blogspot.com/2010/11/front-pic.html" TargetMode="External"/><Relationship Id="rId18" Type="http://schemas.openxmlformats.org/officeDocument/2006/relationships/hyperlink" Target="https://krukus-indonesia.blogspot.com/2010/11/bop-flanges.html" TargetMode="External"/><Relationship Id="rId3" Type="http://schemas.openxmlformats.org/officeDocument/2006/relationships/hyperlink" Target="https://krukus-indonesia.blogspot.com/2010/11/multi-spring.html" TargetMode="External"/><Relationship Id="rId21" Type="http://schemas.openxmlformats.org/officeDocument/2006/relationships/hyperlink" Target="https://krukus-indonesia.blogspot.com/2010/11/hydrils.html" TargetMode="External"/><Relationship Id="rId7" Type="http://schemas.openxmlformats.org/officeDocument/2006/relationships/hyperlink" Target="https://krukus-indonesia.blogspot.com/2010/11/no-name-6.html" TargetMode="External"/><Relationship Id="rId12" Type="http://schemas.openxmlformats.org/officeDocument/2006/relationships/hyperlink" Target="https://krukus-indonesia.blogspot.com/2010/11/mounting.html" TargetMode="External"/><Relationship Id="rId17" Type="http://schemas.openxmlformats.org/officeDocument/2006/relationships/hyperlink" Target="https://krukus-indonesia.blogspot.com/2010/11/annular-bop-set.html" TargetMode="External"/><Relationship Id="rId2" Type="http://schemas.openxmlformats.org/officeDocument/2006/relationships/hyperlink" Target="https://krukus-indonesia.blogspot.com/2010/11/spring-plate.html" TargetMode="External"/><Relationship Id="rId16" Type="http://schemas.openxmlformats.org/officeDocument/2006/relationships/hyperlink" Target="https://krukus-indonesia.blogspot.com/2010/11/spring-single.html" TargetMode="External"/><Relationship Id="rId20" Type="http://schemas.openxmlformats.org/officeDocument/2006/relationships/hyperlink" Target="https://krukus-indonesia.blogspot.com/2010/11/bop-set.html" TargetMode="External"/><Relationship Id="rId1" Type="http://schemas.openxmlformats.org/officeDocument/2006/relationships/hyperlink" Target="https://krukus-indonesia.blogspot.com/2010/11/dam-chain.html" TargetMode="External"/><Relationship Id="rId6" Type="http://schemas.openxmlformats.org/officeDocument/2006/relationships/hyperlink" Target="https://krukus-indonesia.blogspot.com/2010/11/no-name-12.html" TargetMode="External"/><Relationship Id="rId11" Type="http://schemas.openxmlformats.org/officeDocument/2006/relationships/hyperlink" Target="https://krukus-indonesia.blogspot.com/2010/11/shaffer-s.html" TargetMode="External"/><Relationship Id="rId5" Type="http://schemas.openxmlformats.org/officeDocument/2006/relationships/hyperlink" Target="https://krukus-indonesia.blogspot.com/2010/11/catride-multi-spring.html" TargetMode="External"/><Relationship Id="rId15" Type="http://schemas.openxmlformats.org/officeDocument/2006/relationships/hyperlink" Target="https://krukus-indonesia.blogspot.com/2010/11/chain.html" TargetMode="External"/><Relationship Id="rId23" Type="http://schemas.openxmlformats.org/officeDocument/2006/relationships/hyperlink" Target="https://krukus-indonesia.blogspot.com/2010/11/shaffer-b.html" TargetMode="External"/><Relationship Id="rId10" Type="http://schemas.openxmlformats.org/officeDocument/2006/relationships/hyperlink" Target="https://krukus-indonesia.blogspot.com/2010/11/shaffer-l8.html" TargetMode="External"/><Relationship Id="rId19" Type="http://schemas.openxmlformats.org/officeDocument/2006/relationships/hyperlink" Target="https://krukus-indonesia.blogspot.com/2010/11/bop-flanges-s.html" TargetMode="External"/><Relationship Id="rId4" Type="http://schemas.openxmlformats.org/officeDocument/2006/relationships/hyperlink" Target="https://krukus-indonesia.blogspot.com/2010/11/cartridge-metal-bellows.html" TargetMode="External"/><Relationship Id="rId9" Type="http://schemas.openxmlformats.org/officeDocument/2006/relationships/hyperlink" Target="https://krukus-indonesia.blogspot.com/2010/11/shaffer.html" TargetMode="External"/><Relationship Id="rId14" Type="http://schemas.openxmlformats.org/officeDocument/2006/relationships/hyperlink" Target="https://krukus-indonesia.blogspot.com/2010/11/chain-2.html" TargetMode="External"/><Relationship Id="rId22" Type="http://schemas.openxmlformats.org/officeDocument/2006/relationships/hyperlink" Target="https://krukus-indonesia.blogspot.com/2010/11/ra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8DB8F-799D-48AE-B017-7C5ABC23B799}">
  <dimension ref="A1"/>
  <sheetViews>
    <sheetView workbookViewId="0">
      <selection activeCell="B2" sqref="B2:E32"/>
    </sheetView>
  </sheetViews>
  <sheetFormatPr defaultRowHeight="14.5" x14ac:dyDescent="0.35"/>
  <cols>
    <col min="3" max="3" width="29.453125" customWidth="1"/>
  </cols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2E25C-6C85-484C-8833-505C6F214941}">
  <dimension ref="A3:BN104"/>
  <sheetViews>
    <sheetView tabSelected="1" zoomScale="55" zoomScaleNormal="55" workbookViewId="0">
      <selection activeCell="T72" sqref="T72"/>
    </sheetView>
  </sheetViews>
  <sheetFormatPr defaultRowHeight="14.5" x14ac:dyDescent="0.35"/>
  <cols>
    <col min="1" max="1" width="3.90625" customWidth="1"/>
    <col min="2" max="2" width="23.54296875" customWidth="1"/>
    <col min="3" max="7" width="4.90625" customWidth="1"/>
    <col min="8" max="13" width="5.36328125" customWidth="1"/>
    <col min="14" max="32" width="4.90625" customWidth="1"/>
    <col min="33" max="38" width="5.26953125" customWidth="1"/>
    <col min="39" max="39" width="6" customWidth="1"/>
    <col min="40" max="40" width="25.6328125" customWidth="1"/>
    <col min="41" max="42" width="8.7265625" customWidth="1"/>
    <col min="43" max="44" width="5.26953125" customWidth="1"/>
    <col min="45" max="45" width="21.81640625" customWidth="1"/>
    <col min="46" max="51" width="5.26953125" customWidth="1"/>
    <col min="52" max="52" width="22.36328125" customWidth="1"/>
    <col min="53" max="54" width="12.54296875" customWidth="1"/>
    <col min="55" max="55" width="8.453125" customWidth="1"/>
    <col min="56" max="57" width="22.6328125" customWidth="1"/>
    <col min="58" max="59" width="5.26953125" customWidth="1"/>
    <col min="60" max="60" width="10" customWidth="1"/>
    <col min="61" max="61" width="24.08984375" customWidth="1"/>
    <col min="62" max="62" width="11.453125" customWidth="1"/>
    <col min="63" max="63" width="12.81640625" customWidth="1"/>
    <col min="64" max="64" width="5.7265625" customWidth="1"/>
    <col min="65" max="65" width="19.90625" customWidth="1"/>
    <col min="66" max="66" width="21.26953125" customWidth="1"/>
  </cols>
  <sheetData>
    <row r="3" spans="1:66" x14ac:dyDescent="0.35">
      <c r="C3" s="4" t="s">
        <v>33</v>
      </c>
      <c r="D3" s="4" t="s">
        <v>39</v>
      </c>
      <c r="E3" s="4" t="s">
        <v>40</v>
      </c>
      <c r="F3" s="4" t="s">
        <v>41</v>
      </c>
      <c r="G3" s="4" t="s">
        <v>37</v>
      </c>
      <c r="H3" s="4" t="s">
        <v>42</v>
      </c>
      <c r="I3" s="4" t="s">
        <v>43</v>
      </c>
      <c r="J3" s="4" t="s">
        <v>44</v>
      </c>
      <c r="K3" s="4" t="s">
        <v>34</v>
      </c>
      <c r="L3" s="4" t="s">
        <v>45</v>
      </c>
      <c r="M3" s="4" t="s">
        <v>46</v>
      </c>
      <c r="N3" s="4" t="s">
        <v>47</v>
      </c>
      <c r="O3" s="4" t="s">
        <v>48</v>
      </c>
      <c r="P3" s="4" t="s">
        <v>49</v>
      </c>
      <c r="Q3" s="4" t="s">
        <v>35</v>
      </c>
      <c r="R3" s="4" t="s">
        <v>50</v>
      </c>
      <c r="S3" s="4" t="s">
        <v>51</v>
      </c>
      <c r="T3" s="4" t="s">
        <v>52</v>
      </c>
      <c r="U3" s="4" t="s">
        <v>53</v>
      </c>
      <c r="V3" s="4" t="s">
        <v>54</v>
      </c>
      <c r="W3" s="4" t="s">
        <v>36</v>
      </c>
      <c r="X3" s="4" t="s">
        <v>55</v>
      </c>
      <c r="Y3" s="4" t="s">
        <v>56</v>
      </c>
      <c r="Z3" s="4" t="s">
        <v>38</v>
      </c>
      <c r="AA3" s="4" t="s">
        <v>57</v>
      </c>
      <c r="AB3" s="4" t="s">
        <v>58</v>
      </c>
      <c r="AC3" s="4" t="s">
        <v>59</v>
      </c>
      <c r="AD3" s="4" t="s">
        <v>60</v>
      </c>
      <c r="AE3" s="4" t="s">
        <v>61</v>
      </c>
      <c r="AF3" s="4" t="s">
        <v>62</v>
      </c>
    </row>
    <row r="4" spans="1:66" ht="110" customHeight="1" thickBot="1" x14ac:dyDescent="0.4">
      <c r="B4" s="7"/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  <c r="M4" s="8" t="s">
        <v>12</v>
      </c>
      <c r="N4" s="8" t="s">
        <v>13</v>
      </c>
      <c r="O4" s="8" t="s">
        <v>14</v>
      </c>
      <c r="P4" s="8" t="s">
        <v>15</v>
      </c>
      <c r="Q4" s="8" t="s">
        <v>16</v>
      </c>
      <c r="R4" s="8" t="s">
        <v>17</v>
      </c>
      <c r="S4" s="8" t="s">
        <v>18</v>
      </c>
      <c r="T4" s="8" t="s">
        <v>19</v>
      </c>
      <c r="U4" s="8" t="s">
        <v>20</v>
      </c>
      <c r="V4" s="8" t="s">
        <v>21</v>
      </c>
      <c r="W4" s="8" t="s">
        <v>22</v>
      </c>
      <c r="X4" s="8" t="s">
        <v>23</v>
      </c>
      <c r="Y4" s="8" t="s">
        <v>24</v>
      </c>
      <c r="Z4" s="9" t="s">
        <v>25</v>
      </c>
      <c r="AA4" s="9" t="s">
        <v>26</v>
      </c>
      <c r="AB4" s="9" t="s">
        <v>27</v>
      </c>
      <c r="AC4" s="9" t="s">
        <v>28</v>
      </c>
      <c r="AD4" s="9" t="s">
        <v>29</v>
      </c>
      <c r="AE4" s="9" t="s">
        <v>30</v>
      </c>
      <c r="AF4" s="9" t="s">
        <v>31</v>
      </c>
    </row>
    <row r="5" spans="1:66" ht="19" customHeight="1" thickBot="1" x14ac:dyDescent="0.4">
      <c r="A5" s="4" t="s">
        <v>33</v>
      </c>
      <c r="B5" s="5" t="s">
        <v>2</v>
      </c>
      <c r="C5" s="7"/>
      <c r="D5" s="7" t="s">
        <v>33</v>
      </c>
      <c r="E5" s="7" t="s">
        <v>33</v>
      </c>
      <c r="F5" s="7" t="s">
        <v>34</v>
      </c>
      <c r="G5" s="7" t="s">
        <v>34</v>
      </c>
      <c r="H5" s="7" t="s">
        <v>35</v>
      </c>
      <c r="I5" s="7" t="s">
        <v>36</v>
      </c>
      <c r="J5" s="7" t="s">
        <v>36</v>
      </c>
      <c r="K5" s="7" t="s">
        <v>36</v>
      </c>
      <c r="L5" s="7" t="s">
        <v>36</v>
      </c>
      <c r="M5" s="7" t="s">
        <v>36</v>
      </c>
      <c r="N5" s="7" t="s">
        <v>37</v>
      </c>
      <c r="O5" s="7" t="s">
        <v>37</v>
      </c>
      <c r="P5" s="7" t="s">
        <v>34</v>
      </c>
      <c r="Q5" s="7" t="s">
        <v>36</v>
      </c>
      <c r="R5" s="7" t="s">
        <v>36</v>
      </c>
      <c r="S5" s="7" t="s">
        <v>36</v>
      </c>
      <c r="T5" s="7" t="s">
        <v>36</v>
      </c>
      <c r="U5" s="7" t="s">
        <v>36</v>
      </c>
      <c r="V5" s="7" t="s">
        <v>36</v>
      </c>
      <c r="W5" s="7" t="s">
        <v>36</v>
      </c>
      <c r="X5" s="7" t="s">
        <v>36</v>
      </c>
      <c r="Y5" s="7" t="s">
        <v>36</v>
      </c>
      <c r="Z5" s="7" t="s">
        <v>36</v>
      </c>
      <c r="AA5" s="7" t="s">
        <v>36</v>
      </c>
      <c r="AB5" s="7" t="s">
        <v>36</v>
      </c>
      <c r="AC5" s="7" t="s">
        <v>36</v>
      </c>
      <c r="AD5" s="7" t="s">
        <v>36</v>
      </c>
      <c r="AE5" s="7" t="s">
        <v>36</v>
      </c>
      <c r="AF5" s="7" t="s">
        <v>36</v>
      </c>
      <c r="AG5">
        <f>(32*2)+(16*2)+(8*3)+(4*1)+(2*21)</f>
        <v>166</v>
      </c>
      <c r="AJ5" t="s">
        <v>33</v>
      </c>
      <c r="AK5">
        <v>32</v>
      </c>
      <c r="AM5" s="1" t="s">
        <v>0</v>
      </c>
      <c r="AN5" s="1" t="s">
        <v>32</v>
      </c>
      <c r="AO5" s="51" t="s">
        <v>1</v>
      </c>
      <c r="AP5" s="51"/>
      <c r="AR5" s="7" t="s">
        <v>52</v>
      </c>
      <c r="AS5" s="25" t="s">
        <v>19</v>
      </c>
      <c r="AT5" s="12">
        <v>91</v>
      </c>
      <c r="AU5" s="12">
        <v>17</v>
      </c>
      <c r="AV5" s="32">
        <f t="shared" ref="AV5:AV7" si="0">AT5/AU5</f>
        <v>5.3529411764705879</v>
      </c>
      <c r="AW5" s="17">
        <v>5</v>
      </c>
      <c r="AY5" s="39" t="s">
        <v>83</v>
      </c>
      <c r="AZ5" s="39" t="s">
        <v>88</v>
      </c>
      <c r="BA5" s="40" t="s">
        <v>84</v>
      </c>
      <c r="BB5" s="40" t="s">
        <v>85</v>
      </c>
      <c r="BC5" s="40" t="s">
        <v>81</v>
      </c>
      <c r="BD5" s="40" t="s">
        <v>86</v>
      </c>
      <c r="BE5" s="40" t="s">
        <v>87</v>
      </c>
      <c r="BF5" s="10"/>
      <c r="BG5" s="10"/>
      <c r="BH5" s="39" t="s">
        <v>83</v>
      </c>
      <c r="BI5" s="39" t="s">
        <v>88</v>
      </c>
      <c r="BJ5" s="40" t="s">
        <v>84</v>
      </c>
      <c r="BK5" s="40" t="s">
        <v>85</v>
      </c>
      <c r="BL5" s="40" t="s">
        <v>81</v>
      </c>
      <c r="BM5" s="40" t="s">
        <v>86</v>
      </c>
      <c r="BN5" s="40" t="s">
        <v>87</v>
      </c>
    </row>
    <row r="6" spans="1:66" ht="19" customHeight="1" x14ac:dyDescent="0.35">
      <c r="A6" s="4" t="s">
        <v>39</v>
      </c>
      <c r="B6" s="5" t="s">
        <v>3</v>
      </c>
      <c r="C6" s="7" t="s">
        <v>33</v>
      </c>
      <c r="E6" s="7" t="s">
        <v>37</v>
      </c>
      <c r="F6" s="7" t="s">
        <v>34</v>
      </c>
      <c r="G6" s="7" t="s">
        <v>34</v>
      </c>
      <c r="H6" s="7" t="s">
        <v>35</v>
      </c>
      <c r="I6" s="7" t="s">
        <v>34</v>
      </c>
      <c r="J6" s="7" t="s">
        <v>36</v>
      </c>
      <c r="K6" s="7" t="s">
        <v>36</v>
      </c>
      <c r="L6" s="7" t="s">
        <v>36</v>
      </c>
      <c r="M6" s="7" t="s">
        <v>36</v>
      </c>
      <c r="N6" s="7" t="s">
        <v>36</v>
      </c>
      <c r="O6" s="7" t="s">
        <v>36</v>
      </c>
      <c r="P6" s="7" t="s">
        <v>36</v>
      </c>
      <c r="Q6" s="7" t="s">
        <v>36</v>
      </c>
      <c r="R6" s="7" t="s">
        <v>36</v>
      </c>
      <c r="S6" s="7" t="s">
        <v>36</v>
      </c>
      <c r="T6" s="7" t="s">
        <v>36</v>
      </c>
      <c r="U6" s="7" t="s">
        <v>36</v>
      </c>
      <c r="V6" s="7" t="s">
        <v>36</v>
      </c>
      <c r="W6" s="7" t="s">
        <v>34</v>
      </c>
      <c r="X6" s="7" t="s">
        <v>34</v>
      </c>
      <c r="Y6" s="7" t="s">
        <v>34</v>
      </c>
      <c r="Z6" s="7" t="s">
        <v>34</v>
      </c>
      <c r="AA6" s="7" t="s">
        <v>36</v>
      </c>
      <c r="AB6" s="7" t="s">
        <v>36</v>
      </c>
      <c r="AC6" s="7" t="s">
        <v>36</v>
      </c>
      <c r="AD6" s="7" t="s">
        <v>36</v>
      </c>
      <c r="AE6" s="7" t="s">
        <v>36</v>
      </c>
      <c r="AF6" s="7" t="s">
        <v>36</v>
      </c>
      <c r="AG6">
        <f>(32*1)+(16*1)+(8*7)+(4*1)+(2*19)</f>
        <v>146</v>
      </c>
      <c r="AJ6" t="s">
        <v>37</v>
      </c>
      <c r="AK6">
        <v>16</v>
      </c>
      <c r="AM6" s="2">
        <v>1</v>
      </c>
      <c r="AN6" s="3" t="s">
        <v>2</v>
      </c>
      <c r="AO6" s="51">
        <v>1</v>
      </c>
      <c r="AP6" s="51"/>
      <c r="AR6" s="7" t="s">
        <v>54</v>
      </c>
      <c r="AS6" s="25" t="s">
        <v>21</v>
      </c>
      <c r="AT6" s="12">
        <v>88</v>
      </c>
      <c r="AU6" s="12">
        <v>16</v>
      </c>
      <c r="AV6" s="32">
        <f t="shared" si="0"/>
        <v>5.5</v>
      </c>
      <c r="AW6" s="17">
        <v>6</v>
      </c>
      <c r="AY6" s="41" t="s">
        <v>33</v>
      </c>
      <c r="AZ6" s="42" t="s">
        <v>2</v>
      </c>
      <c r="BA6" s="45">
        <f>(1/2)+(100/15)</f>
        <v>7.166666666666667</v>
      </c>
      <c r="BB6" s="50">
        <f>(1/2)+(100/15)</f>
        <v>7.166666666666667</v>
      </c>
      <c r="BC6" s="38">
        <v>2</v>
      </c>
      <c r="BD6" s="45">
        <f>BA6*BC6</f>
        <v>14.333333333333334</v>
      </c>
      <c r="BE6" s="45">
        <f>BB6*BC6</f>
        <v>14.333333333333334</v>
      </c>
      <c r="BF6" s="10"/>
      <c r="BG6" s="10"/>
      <c r="BH6" s="41" t="s">
        <v>54</v>
      </c>
      <c r="BI6" s="42" t="s">
        <v>21</v>
      </c>
      <c r="BJ6" s="45">
        <f>(190/15)+(100/15)</f>
        <v>19.333333333333332</v>
      </c>
      <c r="BK6" s="45">
        <f>(110/15)+(40/15)</f>
        <v>10</v>
      </c>
      <c r="BL6" s="10">
        <v>1</v>
      </c>
      <c r="BM6" s="49">
        <f>BJ6*BL6</f>
        <v>19.333333333333332</v>
      </c>
      <c r="BN6" s="49">
        <f>BK6*BL6</f>
        <v>10</v>
      </c>
    </row>
    <row r="7" spans="1:66" ht="19" customHeight="1" x14ac:dyDescent="0.35">
      <c r="A7" s="4" t="s">
        <v>40</v>
      </c>
      <c r="B7" s="5" t="s">
        <v>4</v>
      </c>
      <c r="C7" s="7" t="s">
        <v>33</v>
      </c>
      <c r="D7" s="7" t="s">
        <v>37</v>
      </c>
      <c r="E7" s="7"/>
      <c r="F7" s="7" t="s">
        <v>37</v>
      </c>
      <c r="G7" s="7" t="s">
        <v>34</v>
      </c>
      <c r="H7" s="7" t="s">
        <v>34</v>
      </c>
      <c r="I7" s="7" t="s">
        <v>35</v>
      </c>
      <c r="J7" s="7" t="s">
        <v>34</v>
      </c>
      <c r="K7" s="7" t="s">
        <v>36</v>
      </c>
      <c r="L7" s="7" t="s">
        <v>36</v>
      </c>
      <c r="M7" s="7" t="s">
        <v>36</v>
      </c>
      <c r="N7" s="7" t="s">
        <v>36</v>
      </c>
      <c r="O7" s="7" t="s">
        <v>36</v>
      </c>
      <c r="P7" s="7" t="s">
        <v>36</v>
      </c>
      <c r="Q7" s="7" t="s">
        <v>36</v>
      </c>
      <c r="R7" s="7" t="s">
        <v>36</v>
      </c>
      <c r="S7" s="7" t="s">
        <v>36</v>
      </c>
      <c r="T7" s="7" t="s">
        <v>36</v>
      </c>
      <c r="U7" s="7" t="s">
        <v>36</v>
      </c>
      <c r="V7" s="7" t="s">
        <v>36</v>
      </c>
      <c r="W7" s="7" t="s">
        <v>36</v>
      </c>
      <c r="X7" s="7" t="s">
        <v>34</v>
      </c>
      <c r="Y7" s="7" t="s">
        <v>34</v>
      </c>
      <c r="Z7" s="7" t="s">
        <v>36</v>
      </c>
      <c r="AA7" s="7" t="s">
        <v>36</v>
      </c>
      <c r="AB7" s="7" t="s">
        <v>36</v>
      </c>
      <c r="AC7" s="7" t="s">
        <v>36</v>
      </c>
      <c r="AD7" s="7" t="s">
        <v>36</v>
      </c>
      <c r="AE7" s="7" t="s">
        <v>36</v>
      </c>
      <c r="AF7" s="7" t="s">
        <v>36</v>
      </c>
      <c r="AG7">
        <f>(32*1)+(16*2)+(8*5)+(4*1)+(2*20)</f>
        <v>148</v>
      </c>
      <c r="AJ7" t="s">
        <v>34</v>
      </c>
      <c r="AK7">
        <v>8</v>
      </c>
      <c r="AM7" s="2">
        <v>2</v>
      </c>
      <c r="AN7" s="3" t="s">
        <v>3</v>
      </c>
      <c r="AO7" s="51">
        <v>3</v>
      </c>
      <c r="AP7" s="51"/>
      <c r="AR7" s="7" t="s">
        <v>36</v>
      </c>
      <c r="AS7" s="25" t="s">
        <v>22</v>
      </c>
      <c r="AT7" s="12">
        <v>37</v>
      </c>
      <c r="AU7" s="12">
        <v>8</v>
      </c>
      <c r="AV7" s="32">
        <f t="shared" si="0"/>
        <v>4.625</v>
      </c>
      <c r="AW7" s="17">
        <v>5</v>
      </c>
      <c r="AY7" s="41" t="s">
        <v>39</v>
      </c>
      <c r="AZ7" s="42" t="s">
        <v>3</v>
      </c>
      <c r="BA7" s="45">
        <f>(1/2)+(90/15)</f>
        <v>6.5</v>
      </c>
      <c r="BB7" s="50">
        <f>(1/2)+(90/15)</f>
        <v>6.5</v>
      </c>
      <c r="BC7" s="38">
        <v>2</v>
      </c>
      <c r="BD7" s="45">
        <f t="shared" ref="BD7:BD35" si="1">BA7*BC7</f>
        <v>13</v>
      </c>
      <c r="BE7" s="45">
        <f t="shared" ref="BE7:BE35" si="2">BB7*BC7</f>
        <v>13</v>
      </c>
      <c r="BF7" s="10"/>
      <c r="BG7" s="10"/>
      <c r="BH7" s="41" t="s">
        <v>36</v>
      </c>
      <c r="BI7" s="42" t="s">
        <v>22</v>
      </c>
      <c r="BJ7" s="45">
        <f>(190/15)+(130/15)</f>
        <v>21.333333333333332</v>
      </c>
      <c r="BK7" s="45">
        <f>(110/15)+(50/15)</f>
        <v>10.666666666666666</v>
      </c>
      <c r="BL7" s="10">
        <v>1</v>
      </c>
      <c r="BM7" s="49">
        <f t="shared" ref="BM7:BM35" si="3">BJ7*BL7</f>
        <v>21.333333333333332</v>
      </c>
      <c r="BN7" s="49">
        <f t="shared" ref="BN7:BN35" si="4">BK7*BL7</f>
        <v>10.666666666666666</v>
      </c>
    </row>
    <row r="8" spans="1:66" ht="19" customHeight="1" x14ac:dyDescent="0.35">
      <c r="A8" s="4" t="s">
        <v>41</v>
      </c>
      <c r="B8" s="5" t="s">
        <v>5</v>
      </c>
      <c r="C8" s="7" t="s">
        <v>34</v>
      </c>
      <c r="D8" s="7" t="s">
        <v>34</v>
      </c>
      <c r="E8" s="7" t="s">
        <v>37</v>
      </c>
      <c r="F8" s="7"/>
      <c r="G8" s="7" t="s">
        <v>37</v>
      </c>
      <c r="H8" s="7" t="s">
        <v>34</v>
      </c>
      <c r="I8" s="7" t="s">
        <v>34</v>
      </c>
      <c r="J8" s="7" t="s">
        <v>35</v>
      </c>
      <c r="K8" s="7" t="s">
        <v>34</v>
      </c>
      <c r="L8" s="7" t="s">
        <v>36</v>
      </c>
      <c r="M8" s="7" t="s">
        <v>36</v>
      </c>
      <c r="N8" s="7" t="s">
        <v>36</v>
      </c>
      <c r="O8" s="7" t="s">
        <v>36</v>
      </c>
      <c r="P8" s="7" t="s">
        <v>36</v>
      </c>
      <c r="Q8" s="7" t="s">
        <v>36</v>
      </c>
      <c r="R8" s="7" t="s">
        <v>36</v>
      </c>
      <c r="S8" s="7" t="s">
        <v>36</v>
      </c>
      <c r="T8" s="7" t="s">
        <v>36</v>
      </c>
      <c r="U8" s="7" t="s">
        <v>36</v>
      </c>
      <c r="V8" s="7" t="s">
        <v>36</v>
      </c>
      <c r="W8" s="7" t="s">
        <v>36</v>
      </c>
      <c r="X8" s="7" t="s">
        <v>36</v>
      </c>
      <c r="Y8" s="7" t="s">
        <v>34</v>
      </c>
      <c r="Z8" s="7" t="s">
        <v>36</v>
      </c>
      <c r="AA8" s="7" t="s">
        <v>36</v>
      </c>
      <c r="AB8" s="7" t="s">
        <v>36</v>
      </c>
      <c r="AC8" s="7" t="s">
        <v>36</v>
      </c>
      <c r="AD8" s="7" t="s">
        <v>36</v>
      </c>
      <c r="AE8" s="7" t="s">
        <v>36</v>
      </c>
      <c r="AF8" s="7" t="s">
        <v>36</v>
      </c>
      <c r="AG8">
        <f>(16*2)+(8*6)+(4*1)+(2*20)</f>
        <v>124</v>
      </c>
      <c r="AJ8" t="s">
        <v>35</v>
      </c>
      <c r="AK8">
        <v>4</v>
      </c>
      <c r="AM8" s="2">
        <v>3</v>
      </c>
      <c r="AN8" s="3" t="s">
        <v>4</v>
      </c>
      <c r="AO8" s="51">
        <v>1</v>
      </c>
      <c r="AP8" s="51"/>
      <c r="AR8" s="7" t="s">
        <v>55</v>
      </c>
      <c r="AS8" s="25" t="s">
        <v>23</v>
      </c>
      <c r="AT8" s="7">
        <v>102</v>
      </c>
      <c r="AU8" s="7">
        <v>18</v>
      </c>
      <c r="AV8" s="32">
        <f>AT8/AU8</f>
        <v>5.666666666666667</v>
      </c>
      <c r="AW8" s="17">
        <v>6</v>
      </c>
      <c r="AY8" s="41" t="s">
        <v>40</v>
      </c>
      <c r="AZ8" s="42" t="s">
        <v>4</v>
      </c>
      <c r="BA8" s="45">
        <f>(1/2)+(80/15)</f>
        <v>5.833333333333333</v>
      </c>
      <c r="BB8" s="50">
        <f>(1/2)+(110/15)</f>
        <v>7.833333333333333</v>
      </c>
      <c r="BC8" s="38">
        <v>2</v>
      </c>
      <c r="BD8" s="45">
        <f t="shared" si="1"/>
        <v>11.666666666666666</v>
      </c>
      <c r="BE8" s="45">
        <f t="shared" si="2"/>
        <v>15.666666666666666</v>
      </c>
      <c r="BF8" s="10"/>
      <c r="BG8" s="10"/>
      <c r="BH8" s="41" t="s">
        <v>55</v>
      </c>
      <c r="BI8" s="42" t="s">
        <v>23</v>
      </c>
      <c r="BJ8" s="45">
        <f>(190/15)+(80/15)</f>
        <v>18</v>
      </c>
      <c r="BK8" s="45">
        <f>(110/15)+(60/15)</f>
        <v>11.333333333333332</v>
      </c>
      <c r="BL8" s="10">
        <v>1</v>
      </c>
      <c r="BM8" s="49">
        <f t="shared" si="3"/>
        <v>18</v>
      </c>
      <c r="BN8" s="49">
        <f t="shared" si="4"/>
        <v>11.333333333333332</v>
      </c>
    </row>
    <row r="9" spans="1:66" ht="19" customHeight="1" x14ac:dyDescent="0.35">
      <c r="A9" s="4" t="s">
        <v>37</v>
      </c>
      <c r="B9" s="5" t="s">
        <v>6</v>
      </c>
      <c r="C9" s="7" t="s">
        <v>34</v>
      </c>
      <c r="D9" s="7" t="s">
        <v>34</v>
      </c>
      <c r="E9" s="7" t="s">
        <v>34</v>
      </c>
      <c r="F9" s="7" t="s">
        <v>37</v>
      </c>
      <c r="G9" s="7"/>
      <c r="H9" s="7" t="s">
        <v>37</v>
      </c>
      <c r="I9" s="7" t="s">
        <v>34</v>
      </c>
      <c r="J9" s="7" t="s">
        <v>34</v>
      </c>
      <c r="K9" s="7" t="s">
        <v>35</v>
      </c>
      <c r="L9" s="7" t="s">
        <v>34</v>
      </c>
      <c r="M9" s="7" t="s">
        <v>36</v>
      </c>
      <c r="N9" s="7" t="s">
        <v>36</v>
      </c>
      <c r="O9" s="7" t="s">
        <v>36</v>
      </c>
      <c r="P9" s="7" t="s">
        <v>36</v>
      </c>
      <c r="Q9" s="7" t="s">
        <v>36</v>
      </c>
      <c r="R9" s="7" t="s">
        <v>36</v>
      </c>
      <c r="S9" s="7" t="s">
        <v>36</v>
      </c>
      <c r="T9" s="7" t="s">
        <v>36</v>
      </c>
      <c r="U9" s="7" t="s">
        <v>35</v>
      </c>
      <c r="V9" s="7" t="s">
        <v>36</v>
      </c>
      <c r="W9" s="7" t="s">
        <v>36</v>
      </c>
      <c r="X9" s="7" t="s">
        <v>36</v>
      </c>
      <c r="Y9" s="7" t="s">
        <v>36</v>
      </c>
      <c r="Z9" s="7" t="s">
        <v>36</v>
      </c>
      <c r="AA9" s="7" t="s">
        <v>36</v>
      </c>
      <c r="AB9" s="7" t="s">
        <v>36</v>
      </c>
      <c r="AC9" s="7" t="s">
        <v>36</v>
      </c>
      <c r="AD9" s="7" t="s">
        <v>36</v>
      </c>
      <c r="AE9" s="7" t="s">
        <v>36</v>
      </c>
      <c r="AF9" s="7" t="s">
        <v>36</v>
      </c>
      <c r="AG9">
        <f>(16*2)+(8*6)+(4*2)+(2*19)</f>
        <v>126</v>
      </c>
      <c r="AJ9" t="s">
        <v>36</v>
      </c>
      <c r="AK9">
        <v>2</v>
      </c>
      <c r="AM9" s="2">
        <v>4</v>
      </c>
      <c r="AN9" s="3" t="s">
        <v>5</v>
      </c>
      <c r="AO9" s="51">
        <v>1</v>
      </c>
      <c r="AP9" s="51"/>
      <c r="AR9" s="7" t="s">
        <v>56</v>
      </c>
      <c r="AS9" s="25" t="s">
        <v>24</v>
      </c>
      <c r="AT9" s="7">
        <v>98</v>
      </c>
      <c r="AU9" s="7">
        <v>17</v>
      </c>
      <c r="AV9" s="32">
        <f t="shared" ref="AV9:AV11" si="5">AT9/AU9</f>
        <v>5.7647058823529411</v>
      </c>
      <c r="AW9" s="17">
        <v>6</v>
      </c>
      <c r="AY9" s="41" t="s">
        <v>41</v>
      </c>
      <c r="AZ9" s="42" t="s">
        <v>5</v>
      </c>
      <c r="BA9" s="45">
        <f>(1/2)+(110/15)</f>
        <v>7.833333333333333</v>
      </c>
      <c r="BB9" s="50">
        <f>(310/15)+(40/15)</f>
        <v>23.333333333333336</v>
      </c>
      <c r="BC9" s="38">
        <v>2</v>
      </c>
      <c r="BD9" s="45">
        <f t="shared" si="1"/>
        <v>15.666666666666666</v>
      </c>
      <c r="BE9" s="45">
        <f t="shared" si="2"/>
        <v>46.666666666666671</v>
      </c>
      <c r="BF9" s="10"/>
      <c r="BG9" s="10"/>
      <c r="BH9" s="41" t="s">
        <v>50</v>
      </c>
      <c r="BI9" s="42" t="s">
        <v>17</v>
      </c>
      <c r="BJ9" s="45">
        <f>(190/15)+(90/15)</f>
        <v>18.666666666666664</v>
      </c>
      <c r="BK9" s="45">
        <f>(110/15)+(70/15)</f>
        <v>12</v>
      </c>
      <c r="BL9" s="10">
        <v>1</v>
      </c>
      <c r="BM9" s="49">
        <f t="shared" si="3"/>
        <v>18.666666666666664</v>
      </c>
      <c r="BN9" s="49">
        <f t="shared" si="4"/>
        <v>12</v>
      </c>
    </row>
    <row r="10" spans="1:66" ht="19" customHeight="1" x14ac:dyDescent="0.35">
      <c r="A10" s="4" t="s">
        <v>42</v>
      </c>
      <c r="B10" s="5" t="s">
        <v>7</v>
      </c>
      <c r="C10" s="7" t="s">
        <v>35</v>
      </c>
      <c r="D10" s="7" t="s">
        <v>35</v>
      </c>
      <c r="E10" s="7" t="s">
        <v>34</v>
      </c>
      <c r="F10" s="7" t="s">
        <v>34</v>
      </c>
      <c r="G10" s="7" t="s">
        <v>37</v>
      </c>
      <c r="H10" s="7"/>
      <c r="I10" s="7" t="s">
        <v>33</v>
      </c>
      <c r="J10" s="7" t="s">
        <v>34</v>
      </c>
      <c r="K10" s="7" t="s">
        <v>34</v>
      </c>
      <c r="L10" s="7" t="s">
        <v>35</v>
      </c>
      <c r="M10" s="7" t="s">
        <v>34</v>
      </c>
      <c r="N10" s="7" t="s">
        <v>36</v>
      </c>
      <c r="O10" s="7" t="s">
        <v>36</v>
      </c>
      <c r="P10" s="7" t="s">
        <v>36</v>
      </c>
      <c r="Q10" s="7" t="s">
        <v>36</v>
      </c>
      <c r="R10" s="7" t="s">
        <v>36</v>
      </c>
      <c r="S10" s="7" t="s">
        <v>36</v>
      </c>
      <c r="T10" s="7" t="s">
        <v>36</v>
      </c>
      <c r="U10" s="7" t="s">
        <v>36</v>
      </c>
      <c r="V10" s="7" t="s">
        <v>35</v>
      </c>
      <c r="W10" s="7" t="s">
        <v>36</v>
      </c>
      <c r="X10" s="7" t="s">
        <v>36</v>
      </c>
      <c r="Y10" s="7" t="s">
        <v>36</v>
      </c>
      <c r="Z10" s="7" t="s">
        <v>36</v>
      </c>
      <c r="AA10" s="7" t="s">
        <v>36</v>
      </c>
      <c r="AB10" s="7" t="s">
        <v>36</v>
      </c>
      <c r="AC10" s="7" t="s">
        <v>36</v>
      </c>
      <c r="AD10" s="7" t="s">
        <v>36</v>
      </c>
      <c r="AE10" s="7" t="s">
        <v>36</v>
      </c>
      <c r="AF10" s="7" t="s">
        <v>36</v>
      </c>
      <c r="AG10">
        <f>(32*1)+(16*1)+(8*5)+(4*4)+(2*18)</f>
        <v>140</v>
      </c>
      <c r="AJ10" t="s">
        <v>38</v>
      </c>
      <c r="AK10">
        <v>-32</v>
      </c>
      <c r="AM10" s="2">
        <v>5</v>
      </c>
      <c r="AN10" s="3" t="s">
        <v>6</v>
      </c>
      <c r="AO10" s="51">
        <v>2</v>
      </c>
      <c r="AP10" s="51"/>
      <c r="AR10" s="7" t="s">
        <v>57</v>
      </c>
      <c r="AS10" s="6" t="s">
        <v>26</v>
      </c>
      <c r="AT10" s="7">
        <v>85</v>
      </c>
      <c r="AU10" s="7">
        <v>15</v>
      </c>
      <c r="AV10" s="32">
        <f t="shared" si="5"/>
        <v>5.666666666666667</v>
      </c>
      <c r="AW10" s="17">
        <v>6</v>
      </c>
      <c r="AY10" s="41" t="s">
        <v>37</v>
      </c>
      <c r="AZ10" s="42" t="s">
        <v>6</v>
      </c>
      <c r="BA10" s="45">
        <f>(1/2)+(70/15)</f>
        <v>5.166666666666667</v>
      </c>
      <c r="BB10" s="50">
        <f>(310/15)+(50/15)</f>
        <v>24</v>
      </c>
      <c r="BC10" s="38">
        <v>2</v>
      </c>
      <c r="BD10" s="45">
        <f t="shared" si="1"/>
        <v>10.333333333333334</v>
      </c>
      <c r="BE10" s="45">
        <f t="shared" si="2"/>
        <v>48</v>
      </c>
      <c r="BF10" s="10"/>
      <c r="BG10" s="10"/>
      <c r="BH10" s="41" t="s">
        <v>42</v>
      </c>
      <c r="BI10" s="42" t="s">
        <v>7</v>
      </c>
      <c r="BJ10" s="45">
        <f>(1/2)+(60/15)</f>
        <v>4.5</v>
      </c>
      <c r="BK10" s="45">
        <f>(110/15)+(80/15)</f>
        <v>12.666666666666666</v>
      </c>
      <c r="BL10" s="10">
        <v>1</v>
      </c>
      <c r="BM10" s="49">
        <f t="shared" si="3"/>
        <v>4.5</v>
      </c>
      <c r="BN10" s="49">
        <f t="shared" si="4"/>
        <v>12.666666666666666</v>
      </c>
    </row>
    <row r="11" spans="1:66" ht="19" customHeight="1" x14ac:dyDescent="0.35">
      <c r="A11" s="4" t="s">
        <v>43</v>
      </c>
      <c r="B11" s="5" t="s">
        <v>8</v>
      </c>
      <c r="C11" s="7" t="s">
        <v>36</v>
      </c>
      <c r="D11" s="7" t="s">
        <v>34</v>
      </c>
      <c r="E11" s="7" t="s">
        <v>35</v>
      </c>
      <c r="F11" s="7" t="s">
        <v>34</v>
      </c>
      <c r="G11" s="7" t="s">
        <v>34</v>
      </c>
      <c r="H11" s="7" t="s">
        <v>33</v>
      </c>
      <c r="I11" s="4"/>
      <c r="J11" s="7" t="s">
        <v>33</v>
      </c>
      <c r="K11" s="7" t="s">
        <v>34</v>
      </c>
      <c r="L11" s="7" t="s">
        <v>34</v>
      </c>
      <c r="M11" s="7" t="s">
        <v>35</v>
      </c>
      <c r="N11" s="7" t="s">
        <v>34</v>
      </c>
      <c r="O11" s="7" t="s">
        <v>36</v>
      </c>
      <c r="P11" s="7" t="s">
        <v>36</v>
      </c>
      <c r="Q11" s="7" t="s">
        <v>36</v>
      </c>
      <c r="R11" s="7" t="s">
        <v>36</v>
      </c>
      <c r="S11" s="7" t="s">
        <v>36</v>
      </c>
      <c r="T11" s="7" t="s">
        <v>36</v>
      </c>
      <c r="U11" s="7" t="s">
        <v>36</v>
      </c>
      <c r="V11" s="7" t="s">
        <v>36</v>
      </c>
      <c r="W11" s="7" t="s">
        <v>35</v>
      </c>
      <c r="X11" s="7" t="s">
        <v>36</v>
      </c>
      <c r="Y11" s="7" t="s">
        <v>36</v>
      </c>
      <c r="Z11" s="7" t="s">
        <v>36</v>
      </c>
      <c r="AA11" s="7" t="s">
        <v>36</v>
      </c>
      <c r="AB11" s="7" t="s">
        <v>36</v>
      </c>
      <c r="AC11" s="7" t="s">
        <v>36</v>
      </c>
      <c r="AD11" s="7" t="s">
        <v>36</v>
      </c>
      <c r="AE11" s="7" t="s">
        <v>36</v>
      </c>
      <c r="AF11" s="7" t="s">
        <v>36</v>
      </c>
      <c r="AG11">
        <f>(32*2)+(8*6)+(4*3)+(2*18)</f>
        <v>160</v>
      </c>
      <c r="AM11" s="2">
        <v>6</v>
      </c>
      <c r="AN11" s="3" t="s">
        <v>7</v>
      </c>
      <c r="AO11" s="51">
        <v>1</v>
      </c>
      <c r="AP11" s="51"/>
      <c r="AR11" s="7" t="s">
        <v>58</v>
      </c>
      <c r="AS11" s="6" t="s">
        <v>27</v>
      </c>
      <c r="AT11" s="7">
        <v>99</v>
      </c>
      <c r="AU11" s="7">
        <v>16</v>
      </c>
      <c r="AV11" s="32">
        <f t="shared" si="5"/>
        <v>6.1875</v>
      </c>
      <c r="AW11" s="17">
        <v>6</v>
      </c>
      <c r="AY11" s="41" t="s">
        <v>42</v>
      </c>
      <c r="AZ11" s="42" t="s">
        <v>7</v>
      </c>
      <c r="BA11" s="45">
        <f>(1/2)+(60/15)</f>
        <v>4.5</v>
      </c>
      <c r="BB11" s="50">
        <f>(310/15)+(60/15)</f>
        <v>24.666666666666668</v>
      </c>
      <c r="BC11" s="38">
        <v>1</v>
      </c>
      <c r="BD11" s="45">
        <f t="shared" si="1"/>
        <v>4.5</v>
      </c>
      <c r="BE11" s="45">
        <f t="shared" si="2"/>
        <v>24.666666666666668</v>
      </c>
      <c r="BF11" s="10"/>
      <c r="BG11" s="10"/>
      <c r="BH11" s="41" t="s">
        <v>47</v>
      </c>
      <c r="BI11" s="42" t="s">
        <v>13</v>
      </c>
      <c r="BJ11" s="45">
        <f>(110/15)+(80/15)</f>
        <v>12.666666666666666</v>
      </c>
      <c r="BK11" s="45">
        <f>(110/15)+(90/15)</f>
        <v>13.333333333333332</v>
      </c>
      <c r="BL11" s="10">
        <v>1</v>
      </c>
      <c r="BM11" s="49">
        <f t="shared" si="3"/>
        <v>12.666666666666666</v>
      </c>
      <c r="BN11" s="49">
        <f t="shared" si="4"/>
        <v>13.333333333333332</v>
      </c>
    </row>
    <row r="12" spans="1:66" ht="19" customHeight="1" x14ac:dyDescent="0.35">
      <c r="A12" s="4" t="s">
        <v>44</v>
      </c>
      <c r="B12" s="5" t="s">
        <v>9</v>
      </c>
      <c r="C12" s="7" t="s">
        <v>36</v>
      </c>
      <c r="D12" s="7" t="s">
        <v>36</v>
      </c>
      <c r="E12" s="7" t="s">
        <v>34</v>
      </c>
      <c r="F12" s="7" t="s">
        <v>35</v>
      </c>
      <c r="G12" s="7" t="s">
        <v>34</v>
      </c>
      <c r="H12" s="7" t="s">
        <v>34</v>
      </c>
      <c r="I12" s="7" t="s">
        <v>33</v>
      </c>
      <c r="J12" s="4"/>
      <c r="K12" s="7" t="s">
        <v>33</v>
      </c>
      <c r="L12" s="7" t="s">
        <v>34</v>
      </c>
      <c r="M12" s="7" t="s">
        <v>34</v>
      </c>
      <c r="N12" s="7" t="s">
        <v>35</v>
      </c>
      <c r="O12" s="7" t="s">
        <v>34</v>
      </c>
      <c r="P12" s="7" t="s">
        <v>36</v>
      </c>
      <c r="Q12" s="7" t="s">
        <v>36</v>
      </c>
      <c r="R12" s="7" t="s">
        <v>36</v>
      </c>
      <c r="S12" s="7" t="s">
        <v>36</v>
      </c>
      <c r="T12" s="7" t="s">
        <v>36</v>
      </c>
      <c r="U12" s="7" t="s">
        <v>36</v>
      </c>
      <c r="V12" s="7" t="s">
        <v>36</v>
      </c>
      <c r="W12" s="7" t="s">
        <v>36</v>
      </c>
      <c r="X12" s="7" t="s">
        <v>35</v>
      </c>
      <c r="Y12" s="7" t="s">
        <v>36</v>
      </c>
      <c r="Z12" s="7" t="s">
        <v>36</v>
      </c>
      <c r="AA12" s="7" t="s">
        <v>36</v>
      </c>
      <c r="AB12" s="7" t="s">
        <v>36</v>
      </c>
      <c r="AC12" s="7" t="s">
        <v>36</v>
      </c>
      <c r="AD12" s="7" t="s">
        <v>36</v>
      </c>
      <c r="AE12" s="7" t="s">
        <v>36</v>
      </c>
      <c r="AF12" s="7" t="s">
        <v>36</v>
      </c>
      <c r="AG12">
        <f>(32*2)+(8*6)+(4*3)+(2*18)</f>
        <v>160</v>
      </c>
      <c r="AM12" s="2">
        <v>7</v>
      </c>
      <c r="AN12" s="3" t="s">
        <v>8</v>
      </c>
      <c r="AO12" s="51">
        <v>1</v>
      </c>
      <c r="AP12" s="51"/>
      <c r="AR12" s="56" t="s">
        <v>75</v>
      </c>
      <c r="AS12" s="57"/>
      <c r="AT12" s="33">
        <f>(SUM(AT5:AT11))/7</f>
        <v>85.714285714285708</v>
      </c>
      <c r="AU12" s="33">
        <f t="shared" ref="AU12:AV12" si="6">(SUM(AU5:AU11))/7</f>
        <v>15.285714285714286</v>
      </c>
      <c r="AV12" s="33">
        <f t="shared" si="6"/>
        <v>5.5376400560224095</v>
      </c>
      <c r="AW12" s="33">
        <f>(SUM(AW5:AW11))/7</f>
        <v>5.7142857142857144</v>
      </c>
      <c r="AY12" s="41" t="s">
        <v>43</v>
      </c>
      <c r="AZ12" s="42" t="s">
        <v>8</v>
      </c>
      <c r="BA12" s="45">
        <f>(1/2)+(40/15)</f>
        <v>3.1666666666666665</v>
      </c>
      <c r="BB12" s="50">
        <f>(310/15)+(70/15)</f>
        <v>25.333333333333336</v>
      </c>
      <c r="BC12" s="38">
        <v>2</v>
      </c>
      <c r="BD12" s="45">
        <f t="shared" si="1"/>
        <v>6.333333333333333</v>
      </c>
      <c r="BE12" s="45">
        <f t="shared" si="2"/>
        <v>50.666666666666671</v>
      </c>
      <c r="BF12" s="10"/>
      <c r="BG12" s="10"/>
      <c r="BH12" s="41" t="s">
        <v>48</v>
      </c>
      <c r="BI12" s="42" t="s">
        <v>14</v>
      </c>
      <c r="BJ12" s="45">
        <f>(110/15)+(70/15)</f>
        <v>12</v>
      </c>
      <c r="BK12" s="45">
        <f>(110/15)+(100/15)</f>
        <v>14</v>
      </c>
      <c r="BL12" s="10">
        <v>1</v>
      </c>
      <c r="BM12" s="49">
        <f t="shared" si="3"/>
        <v>12</v>
      </c>
      <c r="BN12" s="49">
        <f t="shared" si="4"/>
        <v>14</v>
      </c>
    </row>
    <row r="13" spans="1:66" ht="19" customHeight="1" x14ac:dyDescent="0.35">
      <c r="A13" s="4" t="s">
        <v>34</v>
      </c>
      <c r="B13" s="5" t="s">
        <v>10</v>
      </c>
      <c r="C13" s="7" t="s">
        <v>36</v>
      </c>
      <c r="D13" s="7" t="s">
        <v>36</v>
      </c>
      <c r="E13" s="7" t="s">
        <v>36</v>
      </c>
      <c r="F13" s="7" t="s">
        <v>34</v>
      </c>
      <c r="G13" s="7" t="s">
        <v>35</v>
      </c>
      <c r="H13" s="7" t="s">
        <v>34</v>
      </c>
      <c r="I13" s="7" t="s">
        <v>34</v>
      </c>
      <c r="J13" s="7" t="s">
        <v>33</v>
      </c>
      <c r="K13" s="7"/>
      <c r="L13" s="7" t="s">
        <v>33</v>
      </c>
      <c r="M13" s="7" t="s">
        <v>34</v>
      </c>
      <c r="N13" s="7" t="s">
        <v>34</v>
      </c>
      <c r="O13" s="7" t="s">
        <v>35</v>
      </c>
      <c r="P13" s="7" t="s">
        <v>34</v>
      </c>
      <c r="Q13" s="7" t="s">
        <v>36</v>
      </c>
      <c r="R13" s="7" t="s">
        <v>36</v>
      </c>
      <c r="S13" s="7" t="s">
        <v>36</v>
      </c>
      <c r="T13" s="7" t="s">
        <v>36</v>
      </c>
      <c r="U13" s="7" t="s">
        <v>36</v>
      </c>
      <c r="V13" s="7" t="s">
        <v>36</v>
      </c>
      <c r="W13" s="7" t="s">
        <v>36</v>
      </c>
      <c r="X13" s="7" t="s">
        <v>36</v>
      </c>
      <c r="Y13" s="7" t="s">
        <v>35</v>
      </c>
      <c r="Z13" s="7" t="s">
        <v>36</v>
      </c>
      <c r="AA13" s="7" t="s">
        <v>36</v>
      </c>
      <c r="AB13" s="7" t="s">
        <v>36</v>
      </c>
      <c r="AC13" s="7" t="s">
        <v>36</v>
      </c>
      <c r="AD13" s="7" t="s">
        <v>36</v>
      </c>
      <c r="AE13" s="7" t="s">
        <v>36</v>
      </c>
      <c r="AF13" s="7" t="s">
        <v>36</v>
      </c>
      <c r="AG13">
        <f>(32*2)+(8*6)+(4*3)+(2*18)</f>
        <v>160</v>
      </c>
      <c r="AM13" s="2">
        <v>8</v>
      </c>
      <c r="AN13" s="3" t="s">
        <v>9</v>
      </c>
      <c r="AO13" s="51">
        <v>2</v>
      </c>
      <c r="AP13" s="51"/>
      <c r="AY13" s="41" t="s">
        <v>44</v>
      </c>
      <c r="AZ13" s="42" t="s">
        <v>9</v>
      </c>
      <c r="BA13" s="45">
        <f>(1/2)+(50/15)</f>
        <v>3.8333333333333335</v>
      </c>
      <c r="BB13" s="50">
        <f>(310/15)+(80/15)</f>
        <v>26</v>
      </c>
      <c r="BC13" s="38">
        <v>2</v>
      </c>
      <c r="BD13" s="45">
        <f t="shared" si="1"/>
        <v>7.666666666666667</v>
      </c>
      <c r="BE13" s="45">
        <f t="shared" si="2"/>
        <v>52</v>
      </c>
      <c r="BF13" s="10"/>
      <c r="BG13" s="10"/>
      <c r="BH13" s="41" t="s">
        <v>56</v>
      </c>
      <c r="BI13" s="42" t="s">
        <v>24</v>
      </c>
      <c r="BJ13" s="45">
        <f>(340/15)+(210/15)</f>
        <v>36.666666666666671</v>
      </c>
      <c r="BK13" s="45">
        <f>(1/2)+(30/15)</f>
        <v>2.5</v>
      </c>
      <c r="BL13" s="10">
        <v>1</v>
      </c>
      <c r="BM13" s="49">
        <f t="shared" si="3"/>
        <v>36.666666666666671</v>
      </c>
      <c r="BN13" s="49">
        <f t="shared" si="4"/>
        <v>2.5</v>
      </c>
    </row>
    <row r="14" spans="1:66" s="62" customFormat="1" ht="19" customHeight="1" x14ac:dyDescent="0.35">
      <c r="A14" s="60" t="s">
        <v>45</v>
      </c>
      <c r="B14" s="25" t="s">
        <v>11</v>
      </c>
      <c r="C14" s="61" t="s">
        <v>36</v>
      </c>
      <c r="D14" s="61" t="s">
        <v>36</v>
      </c>
      <c r="E14" s="61" t="s">
        <v>36</v>
      </c>
      <c r="F14" s="61" t="s">
        <v>36</v>
      </c>
      <c r="G14" s="61" t="s">
        <v>34</v>
      </c>
      <c r="H14" s="61" t="s">
        <v>35</v>
      </c>
      <c r="I14" s="61" t="s">
        <v>34</v>
      </c>
      <c r="J14" s="61" t="s">
        <v>34</v>
      </c>
      <c r="K14" s="61" t="s">
        <v>33</v>
      </c>
      <c r="L14" s="61"/>
      <c r="M14" s="61" t="s">
        <v>33</v>
      </c>
      <c r="N14" s="61" t="s">
        <v>34</v>
      </c>
      <c r="O14" s="61" t="s">
        <v>33</v>
      </c>
      <c r="P14" s="61" t="s">
        <v>35</v>
      </c>
      <c r="Q14" s="61" t="s">
        <v>34</v>
      </c>
      <c r="R14" s="61" t="s">
        <v>36</v>
      </c>
      <c r="S14" s="61" t="s">
        <v>36</v>
      </c>
      <c r="T14" s="61" t="s">
        <v>36</v>
      </c>
      <c r="U14" s="61" t="s">
        <v>36</v>
      </c>
      <c r="V14" s="61" t="s">
        <v>36</v>
      </c>
      <c r="W14" s="61" t="s">
        <v>36</v>
      </c>
      <c r="X14" s="61" t="s">
        <v>36</v>
      </c>
      <c r="Y14" s="61" t="s">
        <v>36</v>
      </c>
      <c r="Z14" s="61" t="s">
        <v>35</v>
      </c>
      <c r="AA14" s="61" t="s">
        <v>36</v>
      </c>
      <c r="AB14" s="61" t="s">
        <v>36</v>
      </c>
      <c r="AC14" s="61" t="s">
        <v>36</v>
      </c>
      <c r="AD14" s="61" t="s">
        <v>36</v>
      </c>
      <c r="AE14" s="61" t="s">
        <v>36</v>
      </c>
      <c r="AF14" s="61" t="s">
        <v>36</v>
      </c>
      <c r="AG14" s="62">
        <f>(32*3)+(8*5)+(4*3)+(2*18)</f>
        <v>184</v>
      </c>
      <c r="AM14" s="2">
        <v>9</v>
      </c>
      <c r="AN14" s="3" t="s">
        <v>10</v>
      </c>
      <c r="AO14" s="51">
        <v>1</v>
      </c>
      <c r="AP14" s="51"/>
      <c r="AR14" s="7" t="s">
        <v>33</v>
      </c>
      <c r="AS14" s="25" t="s">
        <v>2</v>
      </c>
      <c r="AT14" s="12">
        <v>32</v>
      </c>
      <c r="AU14" s="12">
        <v>9</v>
      </c>
      <c r="AV14" s="32">
        <f>AT14/AU14</f>
        <v>3.5555555555555554</v>
      </c>
      <c r="AW14" s="17">
        <v>4</v>
      </c>
      <c r="AY14" s="41" t="s">
        <v>34</v>
      </c>
      <c r="AZ14" s="42" t="s">
        <v>10</v>
      </c>
      <c r="BA14" s="45">
        <f>(110/15)+(40/15)</f>
        <v>10</v>
      </c>
      <c r="BB14" s="50">
        <f>(310/15)+(90/15)</f>
        <v>26.666666666666668</v>
      </c>
      <c r="BC14" s="38">
        <v>2</v>
      </c>
      <c r="BD14" s="45">
        <f t="shared" si="1"/>
        <v>20</v>
      </c>
      <c r="BE14" s="45">
        <f t="shared" si="2"/>
        <v>53.333333333333336</v>
      </c>
      <c r="BF14" s="10"/>
      <c r="BG14" s="10"/>
      <c r="BH14" s="41" t="s">
        <v>38</v>
      </c>
      <c r="BI14" s="38" t="s">
        <v>25</v>
      </c>
      <c r="BJ14" s="45">
        <f>(340/15)+(180/15)</f>
        <v>34.666666666666671</v>
      </c>
      <c r="BK14" s="45">
        <f>(1/2)+(40/15)</f>
        <v>3.1666666666666665</v>
      </c>
      <c r="BL14" s="10">
        <v>1</v>
      </c>
      <c r="BM14" s="49">
        <f t="shared" si="3"/>
        <v>34.666666666666671</v>
      </c>
      <c r="BN14" s="49">
        <f t="shared" si="4"/>
        <v>3.1666666666666665</v>
      </c>
    </row>
    <row r="15" spans="1:66" s="62" customFormat="1" ht="19" customHeight="1" x14ac:dyDescent="0.35">
      <c r="A15" s="60" t="s">
        <v>46</v>
      </c>
      <c r="B15" s="25" t="s">
        <v>12</v>
      </c>
      <c r="C15" s="61" t="s">
        <v>36</v>
      </c>
      <c r="D15" s="61" t="s">
        <v>36</v>
      </c>
      <c r="E15" s="61" t="s">
        <v>36</v>
      </c>
      <c r="F15" s="61" t="s">
        <v>36</v>
      </c>
      <c r="G15" s="61" t="s">
        <v>36</v>
      </c>
      <c r="H15" s="61" t="s">
        <v>34</v>
      </c>
      <c r="I15" s="61" t="s">
        <v>35</v>
      </c>
      <c r="J15" s="61" t="s">
        <v>34</v>
      </c>
      <c r="K15" s="61" t="s">
        <v>34</v>
      </c>
      <c r="L15" s="61" t="s">
        <v>33</v>
      </c>
      <c r="M15" s="61"/>
      <c r="N15" s="61" t="s">
        <v>37</v>
      </c>
      <c r="O15" s="61" t="s">
        <v>34</v>
      </c>
      <c r="P15" s="61" t="s">
        <v>34</v>
      </c>
      <c r="Q15" s="61" t="s">
        <v>35</v>
      </c>
      <c r="R15" s="61" t="s">
        <v>34</v>
      </c>
      <c r="S15" s="61" t="s">
        <v>36</v>
      </c>
      <c r="T15" s="61" t="s">
        <v>36</v>
      </c>
      <c r="U15" s="61" t="s">
        <v>36</v>
      </c>
      <c r="V15" s="61" t="s">
        <v>36</v>
      </c>
      <c r="W15" s="61" t="s">
        <v>36</v>
      </c>
      <c r="X15" s="61" t="s">
        <v>36</v>
      </c>
      <c r="Y15" s="61" t="s">
        <v>36</v>
      </c>
      <c r="Z15" s="61" t="s">
        <v>36</v>
      </c>
      <c r="AA15" s="61" t="s">
        <v>35</v>
      </c>
      <c r="AB15" s="61" t="s">
        <v>36</v>
      </c>
      <c r="AC15" s="61" t="s">
        <v>36</v>
      </c>
      <c r="AD15" s="61" t="s">
        <v>36</v>
      </c>
      <c r="AE15" s="61" t="s">
        <v>36</v>
      </c>
      <c r="AF15" s="61" t="s">
        <v>36</v>
      </c>
      <c r="AG15" s="62">
        <f>(32*1)+(16*1)+(8*6)+(4*3)+(2*18)</f>
        <v>144</v>
      </c>
      <c r="AM15" s="2">
        <v>10</v>
      </c>
      <c r="AN15" s="3" t="s">
        <v>11</v>
      </c>
      <c r="AO15" s="51">
        <v>1</v>
      </c>
      <c r="AP15" s="51"/>
      <c r="AR15" s="7" t="s">
        <v>39</v>
      </c>
      <c r="AS15" s="25" t="s">
        <v>3</v>
      </c>
      <c r="AT15" s="12">
        <v>29</v>
      </c>
      <c r="AU15" s="12">
        <v>8</v>
      </c>
      <c r="AV15" s="32">
        <f t="shared" ref="AV15:AV22" si="7">AT15/AU15</f>
        <v>3.625</v>
      </c>
      <c r="AW15" s="17">
        <v>4</v>
      </c>
      <c r="AY15" s="41" t="s">
        <v>45</v>
      </c>
      <c r="AZ15" s="42" t="s">
        <v>11</v>
      </c>
      <c r="BA15" s="45">
        <f>(1/2)+(30/15)</f>
        <v>2.5</v>
      </c>
      <c r="BB15" s="50">
        <f>(1/2)+(70/15)</f>
        <v>5.166666666666667</v>
      </c>
      <c r="BC15" s="38">
        <v>2</v>
      </c>
      <c r="BD15" s="45">
        <f t="shared" si="1"/>
        <v>5</v>
      </c>
      <c r="BE15" s="45">
        <f t="shared" si="2"/>
        <v>10.333333333333334</v>
      </c>
      <c r="BF15" s="10"/>
      <c r="BG15" s="10"/>
      <c r="BH15" s="41" t="s">
        <v>57</v>
      </c>
      <c r="BI15" s="38" t="s">
        <v>26</v>
      </c>
      <c r="BJ15" s="45">
        <f>(340/15)+(150/15)</f>
        <v>32.666666666666671</v>
      </c>
      <c r="BK15" s="45">
        <f>(1/2)+(50/15)</f>
        <v>3.8333333333333335</v>
      </c>
      <c r="BL15" s="10">
        <v>1</v>
      </c>
      <c r="BM15" s="49">
        <f t="shared" si="3"/>
        <v>32.666666666666671</v>
      </c>
      <c r="BN15" s="49">
        <f t="shared" si="4"/>
        <v>3.8333333333333335</v>
      </c>
    </row>
    <row r="16" spans="1:66" s="62" customFormat="1" ht="19" customHeight="1" x14ac:dyDescent="0.35">
      <c r="A16" s="60" t="s">
        <v>47</v>
      </c>
      <c r="B16" s="25" t="s">
        <v>13</v>
      </c>
      <c r="C16" s="61" t="s">
        <v>37</v>
      </c>
      <c r="D16" s="61" t="s">
        <v>36</v>
      </c>
      <c r="E16" s="61" t="s">
        <v>36</v>
      </c>
      <c r="F16" s="61" t="s">
        <v>36</v>
      </c>
      <c r="G16" s="61" t="s">
        <v>36</v>
      </c>
      <c r="H16" s="61" t="s">
        <v>36</v>
      </c>
      <c r="I16" s="61" t="s">
        <v>34</v>
      </c>
      <c r="J16" s="61" t="s">
        <v>35</v>
      </c>
      <c r="K16" s="61" t="s">
        <v>34</v>
      </c>
      <c r="L16" s="61" t="s">
        <v>34</v>
      </c>
      <c r="M16" s="61" t="s">
        <v>37</v>
      </c>
      <c r="N16" s="61"/>
      <c r="O16" s="61" t="s">
        <v>37</v>
      </c>
      <c r="P16" s="61" t="s">
        <v>34</v>
      </c>
      <c r="Q16" s="61" t="s">
        <v>34</v>
      </c>
      <c r="R16" s="61" t="s">
        <v>35</v>
      </c>
      <c r="S16" s="61" t="s">
        <v>34</v>
      </c>
      <c r="T16" s="61" t="s">
        <v>36</v>
      </c>
      <c r="U16" s="61" t="s">
        <v>36</v>
      </c>
      <c r="V16" s="61" t="s">
        <v>36</v>
      </c>
      <c r="W16" s="61" t="s">
        <v>36</v>
      </c>
      <c r="X16" s="61" t="s">
        <v>36</v>
      </c>
      <c r="Y16" s="61" t="s">
        <v>36</v>
      </c>
      <c r="Z16" s="61" t="s">
        <v>36</v>
      </c>
      <c r="AA16" s="61" t="s">
        <v>36</v>
      </c>
      <c r="AB16" s="61" t="s">
        <v>35</v>
      </c>
      <c r="AC16" s="61" t="s">
        <v>36</v>
      </c>
      <c r="AD16" s="61" t="s">
        <v>36</v>
      </c>
      <c r="AE16" s="61" t="s">
        <v>36</v>
      </c>
      <c r="AF16" s="61" t="s">
        <v>36</v>
      </c>
      <c r="AG16" s="62">
        <f>(16*3)+(8*6)+(4*3)+(2*17)</f>
        <v>142</v>
      </c>
      <c r="AM16" s="2">
        <v>11</v>
      </c>
      <c r="AN16" s="3" t="s">
        <v>12</v>
      </c>
      <c r="AO16" s="51">
        <v>1</v>
      </c>
      <c r="AP16" s="51"/>
      <c r="AR16" s="7" t="s">
        <v>40</v>
      </c>
      <c r="AS16" s="25" t="s">
        <v>4</v>
      </c>
      <c r="AT16" s="12">
        <v>22</v>
      </c>
      <c r="AU16" s="12">
        <v>6</v>
      </c>
      <c r="AV16" s="32">
        <f t="shared" si="7"/>
        <v>3.6666666666666665</v>
      </c>
      <c r="AW16" s="17">
        <v>4</v>
      </c>
      <c r="AY16" s="41" t="s">
        <v>46</v>
      </c>
      <c r="AZ16" s="42" t="s">
        <v>12</v>
      </c>
      <c r="BA16" s="45">
        <f>(110/15)+(50/15)</f>
        <v>10.666666666666666</v>
      </c>
      <c r="BB16" s="50">
        <f>(310/15)+(100/15)</f>
        <v>27.333333333333336</v>
      </c>
      <c r="BC16" s="38">
        <v>2</v>
      </c>
      <c r="BD16" s="45">
        <f t="shared" si="1"/>
        <v>21.333333333333332</v>
      </c>
      <c r="BE16" s="45">
        <f t="shared" si="2"/>
        <v>54.666666666666671</v>
      </c>
      <c r="BF16" s="10"/>
      <c r="BG16" s="10"/>
      <c r="BH16" s="41" t="s">
        <v>58</v>
      </c>
      <c r="BI16" s="38" t="s">
        <v>27</v>
      </c>
      <c r="BJ16" s="45">
        <f>(340/15)+(200/15)</f>
        <v>36</v>
      </c>
      <c r="BK16" s="45">
        <f>(1/2)+(60/15)</f>
        <v>4.5</v>
      </c>
      <c r="BL16" s="10">
        <v>1</v>
      </c>
      <c r="BM16" s="49">
        <f t="shared" si="3"/>
        <v>36</v>
      </c>
      <c r="BN16" s="49">
        <f t="shared" si="4"/>
        <v>4.5</v>
      </c>
    </row>
    <row r="17" spans="1:66" s="62" customFormat="1" ht="19" customHeight="1" x14ac:dyDescent="0.35">
      <c r="A17" s="60" t="s">
        <v>48</v>
      </c>
      <c r="B17" s="25" t="s">
        <v>14</v>
      </c>
      <c r="C17" s="61" t="s">
        <v>37</v>
      </c>
      <c r="D17" s="61" t="s">
        <v>36</v>
      </c>
      <c r="E17" s="61" t="s">
        <v>36</v>
      </c>
      <c r="F17" s="61" t="s">
        <v>36</v>
      </c>
      <c r="G17" s="61" t="s">
        <v>36</v>
      </c>
      <c r="H17" s="61" t="s">
        <v>36</v>
      </c>
      <c r="I17" s="61" t="s">
        <v>36</v>
      </c>
      <c r="J17" s="61" t="s">
        <v>34</v>
      </c>
      <c r="K17" s="61" t="s">
        <v>35</v>
      </c>
      <c r="L17" s="61" t="s">
        <v>33</v>
      </c>
      <c r="M17" s="61" t="s">
        <v>34</v>
      </c>
      <c r="N17" s="61" t="s">
        <v>37</v>
      </c>
      <c r="O17" s="61"/>
      <c r="P17" s="61" t="s">
        <v>37</v>
      </c>
      <c r="Q17" s="61" t="s">
        <v>34</v>
      </c>
      <c r="R17" s="61" t="s">
        <v>34</v>
      </c>
      <c r="S17" s="61" t="s">
        <v>33</v>
      </c>
      <c r="T17" s="61" t="s">
        <v>34</v>
      </c>
      <c r="U17" s="61" t="s">
        <v>36</v>
      </c>
      <c r="V17" s="61" t="s">
        <v>36</v>
      </c>
      <c r="W17" s="61" t="s">
        <v>36</v>
      </c>
      <c r="X17" s="61" t="s">
        <v>36</v>
      </c>
      <c r="Y17" s="61" t="s">
        <v>36</v>
      </c>
      <c r="Z17" s="61" t="s">
        <v>36</v>
      </c>
      <c r="AA17" s="61" t="s">
        <v>36</v>
      </c>
      <c r="AB17" s="61" t="s">
        <v>36</v>
      </c>
      <c r="AC17" s="61" t="s">
        <v>35</v>
      </c>
      <c r="AD17" s="61" t="s">
        <v>36</v>
      </c>
      <c r="AE17" s="61" t="s">
        <v>36</v>
      </c>
      <c r="AF17" s="61" t="s">
        <v>36</v>
      </c>
      <c r="AG17" s="62">
        <f>(32*2)+(16*3)+(8*5)+(4*2)+(2*17)</f>
        <v>194</v>
      </c>
      <c r="AM17" s="2">
        <v>12</v>
      </c>
      <c r="AN17" s="3" t="s">
        <v>13</v>
      </c>
      <c r="AO17" s="51">
        <v>1</v>
      </c>
      <c r="AP17" s="51"/>
      <c r="AR17" s="7" t="s">
        <v>45</v>
      </c>
      <c r="AS17" s="25" t="s">
        <v>11</v>
      </c>
      <c r="AT17" s="12">
        <v>79</v>
      </c>
      <c r="AU17" s="12">
        <v>15</v>
      </c>
      <c r="AV17" s="32">
        <f t="shared" si="7"/>
        <v>5.2666666666666666</v>
      </c>
      <c r="AW17" s="17">
        <v>5</v>
      </c>
      <c r="AY17" s="41" t="s">
        <v>47</v>
      </c>
      <c r="AZ17" s="42" t="s">
        <v>13</v>
      </c>
      <c r="BA17" s="45">
        <f>(110/15)+(80/15)</f>
        <v>12.666666666666666</v>
      </c>
      <c r="BB17" s="50">
        <f>(1/2)+(80/15)</f>
        <v>5.833333333333333</v>
      </c>
      <c r="BC17" s="38">
        <v>1</v>
      </c>
      <c r="BD17" s="45">
        <f t="shared" si="1"/>
        <v>12.666666666666666</v>
      </c>
      <c r="BE17" s="45">
        <f t="shared" si="2"/>
        <v>5.833333333333333</v>
      </c>
      <c r="BF17" s="10"/>
      <c r="BG17" s="10"/>
      <c r="BH17" s="41" t="s">
        <v>52</v>
      </c>
      <c r="BI17" s="42" t="s">
        <v>19</v>
      </c>
      <c r="BJ17" s="45">
        <f>(190/15)+(110/15)</f>
        <v>20</v>
      </c>
      <c r="BK17" s="45">
        <f>(210/15)+(40/15)</f>
        <v>16.666666666666668</v>
      </c>
      <c r="BL17" s="10">
        <v>2</v>
      </c>
      <c r="BM17" s="49">
        <f t="shared" si="3"/>
        <v>40</v>
      </c>
      <c r="BN17" s="49">
        <f t="shared" si="4"/>
        <v>33.333333333333336</v>
      </c>
    </row>
    <row r="18" spans="1:66" s="62" customFormat="1" ht="19" customHeight="1" x14ac:dyDescent="0.35">
      <c r="A18" s="60" t="s">
        <v>49</v>
      </c>
      <c r="B18" s="25" t="s">
        <v>15</v>
      </c>
      <c r="C18" s="61" t="s">
        <v>34</v>
      </c>
      <c r="D18" s="61" t="s">
        <v>36</v>
      </c>
      <c r="E18" s="61" t="s">
        <v>36</v>
      </c>
      <c r="F18" s="61" t="s">
        <v>36</v>
      </c>
      <c r="G18" s="61" t="s">
        <v>36</v>
      </c>
      <c r="H18" s="61" t="s">
        <v>36</v>
      </c>
      <c r="I18" s="61" t="s">
        <v>36</v>
      </c>
      <c r="J18" s="61" t="s">
        <v>36</v>
      </c>
      <c r="K18" s="61" t="s">
        <v>34</v>
      </c>
      <c r="L18" s="61" t="s">
        <v>35</v>
      </c>
      <c r="M18" s="61" t="s">
        <v>34</v>
      </c>
      <c r="N18" s="61" t="s">
        <v>34</v>
      </c>
      <c r="O18" s="61" t="s">
        <v>37</v>
      </c>
      <c r="P18" s="61"/>
      <c r="Q18" s="61" t="s">
        <v>37</v>
      </c>
      <c r="R18" s="61" t="s">
        <v>34</v>
      </c>
      <c r="S18" s="61" t="s">
        <v>34</v>
      </c>
      <c r="T18" s="61" t="s">
        <v>35</v>
      </c>
      <c r="U18" s="61" t="s">
        <v>34</v>
      </c>
      <c r="V18" s="61" t="s">
        <v>36</v>
      </c>
      <c r="W18" s="61" t="s">
        <v>36</v>
      </c>
      <c r="X18" s="61" t="s">
        <v>36</v>
      </c>
      <c r="Y18" s="61" t="s">
        <v>36</v>
      </c>
      <c r="Z18" s="61" t="s">
        <v>36</v>
      </c>
      <c r="AA18" s="61" t="s">
        <v>36</v>
      </c>
      <c r="AB18" s="61" t="s">
        <v>36</v>
      </c>
      <c r="AC18" s="61" t="s">
        <v>36</v>
      </c>
      <c r="AD18" s="61" t="s">
        <v>36</v>
      </c>
      <c r="AE18" s="61" t="s">
        <v>36</v>
      </c>
      <c r="AF18" s="61" t="s">
        <v>36</v>
      </c>
      <c r="AG18" s="62">
        <f>(16*2)+(8*7)+(4*2)+(2*18)</f>
        <v>132</v>
      </c>
      <c r="AM18" s="2">
        <v>13</v>
      </c>
      <c r="AN18" s="3" t="s">
        <v>14</v>
      </c>
      <c r="AO18" s="51">
        <v>2</v>
      </c>
      <c r="AP18" s="51"/>
      <c r="AR18" s="7" t="s">
        <v>47</v>
      </c>
      <c r="AS18" s="25" t="s">
        <v>13</v>
      </c>
      <c r="AT18" s="12">
        <v>44</v>
      </c>
      <c r="AU18" s="12">
        <v>9</v>
      </c>
      <c r="AV18" s="32">
        <f t="shared" si="7"/>
        <v>4.8888888888888893</v>
      </c>
      <c r="AW18" s="17">
        <v>5</v>
      </c>
      <c r="AY18" s="41" t="s">
        <v>48</v>
      </c>
      <c r="AZ18" s="42" t="s">
        <v>14</v>
      </c>
      <c r="BA18" s="45">
        <f>(110/15)+(70/15)</f>
        <v>12</v>
      </c>
      <c r="BB18" s="50">
        <f>(1/2)+(60/15)</f>
        <v>4.5</v>
      </c>
      <c r="BC18" s="38">
        <v>1</v>
      </c>
      <c r="BD18" s="45">
        <f t="shared" si="1"/>
        <v>12</v>
      </c>
      <c r="BE18" s="45">
        <f t="shared" si="2"/>
        <v>4.5</v>
      </c>
      <c r="BF18" s="10"/>
      <c r="BG18" s="10"/>
      <c r="BH18" s="41" t="s">
        <v>53</v>
      </c>
      <c r="BI18" s="42" t="s">
        <v>20</v>
      </c>
      <c r="BJ18" s="45">
        <f>(190/15)+(140/15)</f>
        <v>22</v>
      </c>
      <c r="BK18" s="45">
        <f>(1/2)+(70/15)</f>
        <v>5.166666666666667</v>
      </c>
      <c r="BL18" s="10">
        <v>2</v>
      </c>
      <c r="BM18" s="49">
        <f t="shared" si="3"/>
        <v>44</v>
      </c>
      <c r="BN18" s="49">
        <f t="shared" si="4"/>
        <v>10.333333333333334</v>
      </c>
    </row>
    <row r="19" spans="1:66" s="62" customFormat="1" ht="19" customHeight="1" x14ac:dyDescent="0.35">
      <c r="A19" s="60" t="s">
        <v>35</v>
      </c>
      <c r="B19" s="25" t="s">
        <v>16</v>
      </c>
      <c r="C19" s="61" t="s">
        <v>36</v>
      </c>
      <c r="D19" s="61" t="s">
        <v>36</v>
      </c>
      <c r="E19" s="61" t="s">
        <v>36</v>
      </c>
      <c r="F19" s="61" t="s">
        <v>36</v>
      </c>
      <c r="G19" s="61" t="s">
        <v>36</v>
      </c>
      <c r="H19" s="61" t="s">
        <v>36</v>
      </c>
      <c r="I19" s="61" t="s">
        <v>36</v>
      </c>
      <c r="J19" s="61" t="s">
        <v>36</v>
      </c>
      <c r="K19" s="61" t="s">
        <v>36</v>
      </c>
      <c r="L19" s="61" t="s">
        <v>34</v>
      </c>
      <c r="M19" s="61" t="s">
        <v>35</v>
      </c>
      <c r="N19" s="61" t="s">
        <v>34</v>
      </c>
      <c r="O19" s="61" t="s">
        <v>34</v>
      </c>
      <c r="P19" s="61" t="s">
        <v>37</v>
      </c>
      <c r="Q19" s="61"/>
      <c r="R19" s="61" t="s">
        <v>37</v>
      </c>
      <c r="S19" s="61" t="s">
        <v>33</v>
      </c>
      <c r="T19" s="61" t="s">
        <v>37</v>
      </c>
      <c r="U19" s="61" t="s">
        <v>35</v>
      </c>
      <c r="V19" s="61" t="s">
        <v>34</v>
      </c>
      <c r="W19" s="61" t="s">
        <v>36</v>
      </c>
      <c r="X19" s="61" t="s">
        <v>36</v>
      </c>
      <c r="Y19" s="61" t="s">
        <v>36</v>
      </c>
      <c r="Z19" s="61" t="s">
        <v>36</v>
      </c>
      <c r="AA19" s="61" t="s">
        <v>36</v>
      </c>
      <c r="AB19" s="61" t="s">
        <v>36</v>
      </c>
      <c r="AC19" s="61" t="s">
        <v>36</v>
      </c>
      <c r="AD19" s="61" t="s">
        <v>36</v>
      </c>
      <c r="AE19" s="61" t="s">
        <v>36</v>
      </c>
      <c r="AF19" s="61" t="s">
        <v>36</v>
      </c>
      <c r="AG19" s="62">
        <f>(32*1)+(16*3)+(8*4)+(4*2)+(2*19)</f>
        <v>158</v>
      </c>
      <c r="AM19" s="2">
        <v>14</v>
      </c>
      <c r="AN19" s="3" t="s">
        <v>15</v>
      </c>
      <c r="AO19" s="51">
        <v>4</v>
      </c>
      <c r="AP19" s="51"/>
      <c r="AR19" s="7" t="s">
        <v>48</v>
      </c>
      <c r="AS19" s="25" t="s">
        <v>14</v>
      </c>
      <c r="AT19" s="12">
        <v>80</v>
      </c>
      <c r="AU19" s="12">
        <v>13</v>
      </c>
      <c r="AV19" s="32">
        <f t="shared" si="7"/>
        <v>6.1538461538461542</v>
      </c>
      <c r="AW19" s="17">
        <v>6</v>
      </c>
      <c r="AY19" s="41" t="s">
        <v>49</v>
      </c>
      <c r="AZ19" s="42" t="s">
        <v>15</v>
      </c>
      <c r="BA19" s="45">
        <f>(110/15)+(60/15)</f>
        <v>11.333333333333332</v>
      </c>
      <c r="BB19" s="50">
        <f>(1/2)+(30/15)</f>
        <v>2.5</v>
      </c>
      <c r="BC19" s="38">
        <v>2</v>
      </c>
      <c r="BD19" s="45">
        <f t="shared" si="1"/>
        <v>22.666666666666664</v>
      </c>
      <c r="BE19" s="45">
        <f t="shared" si="2"/>
        <v>5</v>
      </c>
      <c r="BF19" s="10"/>
      <c r="BG19" s="10"/>
      <c r="BH19" s="41" t="s">
        <v>33</v>
      </c>
      <c r="BI19" s="42" t="s">
        <v>2</v>
      </c>
      <c r="BJ19" s="45">
        <f>(1/2)+(100/15)</f>
        <v>7.166666666666667</v>
      </c>
      <c r="BK19" s="45">
        <f>(210/15)+(50/15)</f>
        <v>17.333333333333332</v>
      </c>
      <c r="BL19" s="10">
        <v>2</v>
      </c>
      <c r="BM19" s="49">
        <f t="shared" si="3"/>
        <v>14.333333333333334</v>
      </c>
      <c r="BN19" s="49">
        <f t="shared" si="4"/>
        <v>34.666666666666664</v>
      </c>
    </row>
    <row r="20" spans="1:66" s="62" customFormat="1" ht="19" customHeight="1" x14ac:dyDescent="0.35">
      <c r="A20" s="60" t="s">
        <v>50</v>
      </c>
      <c r="B20" s="25" t="s">
        <v>17</v>
      </c>
      <c r="C20" s="61" t="s">
        <v>36</v>
      </c>
      <c r="D20" s="61" t="s">
        <v>36</v>
      </c>
      <c r="E20" s="61" t="s">
        <v>36</v>
      </c>
      <c r="F20" s="61" t="s">
        <v>36</v>
      </c>
      <c r="G20" s="61" t="s">
        <v>36</v>
      </c>
      <c r="H20" s="61" t="s">
        <v>36</v>
      </c>
      <c r="I20" s="61" t="s">
        <v>36</v>
      </c>
      <c r="J20" s="61" t="s">
        <v>36</v>
      </c>
      <c r="K20" s="61" t="s">
        <v>36</v>
      </c>
      <c r="L20" s="61" t="s">
        <v>36</v>
      </c>
      <c r="M20" s="61" t="s">
        <v>34</v>
      </c>
      <c r="N20" s="61" t="s">
        <v>35</v>
      </c>
      <c r="O20" s="61" t="s">
        <v>34</v>
      </c>
      <c r="P20" s="61" t="s">
        <v>34</v>
      </c>
      <c r="Q20" s="61" t="s">
        <v>37</v>
      </c>
      <c r="R20" s="61"/>
      <c r="S20" s="61" t="s">
        <v>34</v>
      </c>
      <c r="T20" s="61" t="s">
        <v>37</v>
      </c>
      <c r="U20" s="61" t="s">
        <v>37</v>
      </c>
      <c r="V20" s="61" t="s">
        <v>35</v>
      </c>
      <c r="W20" s="61" t="s">
        <v>34</v>
      </c>
      <c r="X20" s="61" t="s">
        <v>36</v>
      </c>
      <c r="Y20" s="61" t="s">
        <v>36</v>
      </c>
      <c r="Z20" s="61" t="s">
        <v>36</v>
      </c>
      <c r="AA20" s="61" t="s">
        <v>36</v>
      </c>
      <c r="AB20" s="61" t="s">
        <v>36</v>
      </c>
      <c r="AC20" s="61" t="s">
        <v>36</v>
      </c>
      <c r="AD20" s="61" t="s">
        <v>36</v>
      </c>
      <c r="AE20" s="61" t="s">
        <v>36</v>
      </c>
      <c r="AF20" s="61" t="s">
        <v>36</v>
      </c>
      <c r="AG20" s="62">
        <f>(16*3)+(8*5)+(4*2)+(2*19)</f>
        <v>134</v>
      </c>
      <c r="AM20" s="2">
        <v>15</v>
      </c>
      <c r="AN20" s="3" t="s">
        <v>16</v>
      </c>
      <c r="AO20" s="51">
        <v>2</v>
      </c>
      <c r="AP20" s="51"/>
      <c r="AR20" s="7" t="s">
        <v>49</v>
      </c>
      <c r="AS20" s="25" t="s">
        <v>15</v>
      </c>
      <c r="AT20" s="12">
        <v>33</v>
      </c>
      <c r="AU20" s="12">
        <v>9</v>
      </c>
      <c r="AV20" s="32">
        <f t="shared" si="7"/>
        <v>3.6666666666666665</v>
      </c>
      <c r="AW20" s="17">
        <v>4</v>
      </c>
      <c r="AY20" s="41" t="s">
        <v>35</v>
      </c>
      <c r="AZ20" s="42" t="s">
        <v>16</v>
      </c>
      <c r="BA20" s="45">
        <f>(190/15)+(150/15)</f>
        <v>22.666666666666664</v>
      </c>
      <c r="BB20" s="50">
        <f>(1/2)+(40/15)</f>
        <v>3.1666666666666665</v>
      </c>
      <c r="BC20" s="38">
        <v>3</v>
      </c>
      <c r="BD20" s="45">
        <f t="shared" si="1"/>
        <v>68</v>
      </c>
      <c r="BE20" s="45">
        <f t="shared" si="2"/>
        <v>9.5</v>
      </c>
      <c r="BF20" s="10"/>
      <c r="BG20" s="10"/>
      <c r="BH20" s="41" t="s">
        <v>39</v>
      </c>
      <c r="BI20" s="42" t="s">
        <v>3</v>
      </c>
      <c r="BJ20" s="45">
        <f>(1/2)+(90/15)</f>
        <v>6.5</v>
      </c>
      <c r="BK20" s="45">
        <f>(210/15)+(60/15)</f>
        <v>18</v>
      </c>
      <c r="BL20" s="10">
        <v>2</v>
      </c>
      <c r="BM20" s="49">
        <f t="shared" si="3"/>
        <v>13</v>
      </c>
      <c r="BN20" s="49">
        <f t="shared" si="4"/>
        <v>36</v>
      </c>
    </row>
    <row r="21" spans="1:66" s="62" customFormat="1" ht="19" customHeight="1" x14ac:dyDescent="0.35">
      <c r="A21" s="60" t="s">
        <v>51</v>
      </c>
      <c r="B21" s="25" t="s">
        <v>18</v>
      </c>
      <c r="C21" s="61" t="s">
        <v>36</v>
      </c>
      <c r="D21" s="61" t="s">
        <v>36</v>
      </c>
      <c r="E21" s="61" t="s">
        <v>36</v>
      </c>
      <c r="F21" s="61" t="s">
        <v>36</v>
      </c>
      <c r="G21" s="61" t="s">
        <v>36</v>
      </c>
      <c r="H21" s="61" t="s">
        <v>36</v>
      </c>
      <c r="I21" s="61" t="s">
        <v>36</v>
      </c>
      <c r="J21" s="61" t="s">
        <v>36</v>
      </c>
      <c r="K21" s="61" t="s">
        <v>36</v>
      </c>
      <c r="L21" s="61" t="s">
        <v>36</v>
      </c>
      <c r="M21" s="61" t="s">
        <v>36</v>
      </c>
      <c r="N21" s="61" t="s">
        <v>34</v>
      </c>
      <c r="O21" s="61" t="s">
        <v>33</v>
      </c>
      <c r="P21" s="61" t="s">
        <v>34</v>
      </c>
      <c r="Q21" s="61" t="s">
        <v>33</v>
      </c>
      <c r="R21" s="61" t="s">
        <v>34</v>
      </c>
      <c r="S21" s="61"/>
      <c r="T21" s="61" t="s">
        <v>34</v>
      </c>
      <c r="U21" s="61" t="s">
        <v>34</v>
      </c>
      <c r="V21" s="61" t="s">
        <v>33</v>
      </c>
      <c r="W21" s="61" t="s">
        <v>35</v>
      </c>
      <c r="X21" s="61" t="s">
        <v>34</v>
      </c>
      <c r="Y21" s="61" t="s">
        <v>36</v>
      </c>
      <c r="Z21" s="61" t="s">
        <v>36</v>
      </c>
      <c r="AA21" s="61" t="s">
        <v>36</v>
      </c>
      <c r="AB21" s="61" t="s">
        <v>36</v>
      </c>
      <c r="AC21" s="61" t="s">
        <v>36</v>
      </c>
      <c r="AD21" s="61" t="s">
        <v>36</v>
      </c>
      <c r="AE21" s="61" t="s">
        <v>36</v>
      </c>
      <c r="AF21" s="61" t="s">
        <v>36</v>
      </c>
      <c r="AG21" s="62">
        <f>(32*3)+(8*6)+(4*1)+(2*19)</f>
        <v>186</v>
      </c>
      <c r="AM21" s="2">
        <v>16</v>
      </c>
      <c r="AN21" s="3" t="s">
        <v>17</v>
      </c>
      <c r="AO21" s="51">
        <v>1</v>
      </c>
      <c r="AP21" s="51"/>
      <c r="AR21" s="7" t="s">
        <v>35</v>
      </c>
      <c r="AS21" s="25" t="s">
        <v>16</v>
      </c>
      <c r="AT21" s="12">
        <v>31</v>
      </c>
      <c r="AU21" s="12">
        <v>9</v>
      </c>
      <c r="AV21" s="32">
        <f t="shared" si="7"/>
        <v>3.4444444444444446</v>
      </c>
      <c r="AW21" s="17">
        <v>3</v>
      </c>
      <c r="AY21" s="41" t="s">
        <v>50</v>
      </c>
      <c r="AZ21" s="42" t="s">
        <v>17</v>
      </c>
      <c r="BA21" s="45">
        <f>(190/15)+(90/15)</f>
        <v>18.666666666666664</v>
      </c>
      <c r="BB21" s="50">
        <f>(110/15)+(50/15)</f>
        <v>10.666666666666666</v>
      </c>
      <c r="BC21" s="38">
        <v>1</v>
      </c>
      <c r="BD21" s="45">
        <f t="shared" si="1"/>
        <v>18.666666666666664</v>
      </c>
      <c r="BE21" s="45">
        <f t="shared" si="2"/>
        <v>10.666666666666666</v>
      </c>
      <c r="BF21" s="10"/>
      <c r="BG21" s="10"/>
      <c r="BH21" s="41" t="s">
        <v>40</v>
      </c>
      <c r="BI21" s="42" t="s">
        <v>4</v>
      </c>
      <c r="BJ21" s="45">
        <f>(1/2)+(80/15)</f>
        <v>5.833333333333333</v>
      </c>
      <c r="BK21" s="45">
        <f>(210/15)+(70/15)</f>
        <v>18.666666666666668</v>
      </c>
      <c r="BL21" s="10">
        <v>2</v>
      </c>
      <c r="BM21" s="49">
        <f t="shared" si="3"/>
        <v>11.666666666666666</v>
      </c>
      <c r="BN21" s="49">
        <f t="shared" si="4"/>
        <v>37.333333333333336</v>
      </c>
    </row>
    <row r="22" spans="1:66" s="62" customFormat="1" ht="19" customHeight="1" x14ac:dyDescent="0.35">
      <c r="A22" s="60" t="s">
        <v>52</v>
      </c>
      <c r="B22" s="25" t="s">
        <v>19</v>
      </c>
      <c r="C22" s="61" t="s">
        <v>36</v>
      </c>
      <c r="D22" s="61" t="s">
        <v>36</v>
      </c>
      <c r="E22" s="61" t="s">
        <v>36</v>
      </c>
      <c r="F22" s="61" t="s">
        <v>36</v>
      </c>
      <c r="G22" s="61" t="s">
        <v>36</v>
      </c>
      <c r="H22" s="61" t="s">
        <v>36</v>
      </c>
      <c r="I22" s="61" t="s">
        <v>36</v>
      </c>
      <c r="J22" s="61" t="s">
        <v>36</v>
      </c>
      <c r="K22" s="61" t="s">
        <v>36</v>
      </c>
      <c r="L22" s="61" t="s">
        <v>36</v>
      </c>
      <c r="M22" s="61" t="s">
        <v>36</v>
      </c>
      <c r="N22" s="61" t="s">
        <v>36</v>
      </c>
      <c r="O22" s="61" t="s">
        <v>34</v>
      </c>
      <c r="P22" s="61" t="s">
        <v>35</v>
      </c>
      <c r="Q22" s="61" t="s">
        <v>37</v>
      </c>
      <c r="R22" s="61" t="s">
        <v>37</v>
      </c>
      <c r="S22" s="61" t="s">
        <v>34</v>
      </c>
      <c r="T22" s="61"/>
      <c r="U22" s="61" t="s">
        <v>35</v>
      </c>
      <c r="V22" s="61" t="s">
        <v>37</v>
      </c>
      <c r="W22" s="61" t="s">
        <v>33</v>
      </c>
      <c r="X22" s="61" t="s">
        <v>33</v>
      </c>
      <c r="Y22" s="61" t="s">
        <v>34</v>
      </c>
      <c r="Z22" s="61" t="s">
        <v>36</v>
      </c>
      <c r="AA22" s="61" t="s">
        <v>36</v>
      </c>
      <c r="AB22" s="61" t="s">
        <v>36</v>
      </c>
      <c r="AC22" s="61" t="s">
        <v>36</v>
      </c>
      <c r="AD22" s="61" t="s">
        <v>36</v>
      </c>
      <c r="AE22" s="61" t="s">
        <v>36</v>
      </c>
      <c r="AF22" s="61" t="s">
        <v>36</v>
      </c>
      <c r="AG22" s="62">
        <f>(32*2)+(16*3)+(8*3)+(4*2)+(2*19)</f>
        <v>182</v>
      </c>
      <c r="AM22" s="2">
        <v>17</v>
      </c>
      <c r="AN22" s="3" t="s">
        <v>18</v>
      </c>
      <c r="AO22" s="51">
        <v>1</v>
      </c>
      <c r="AP22" s="51"/>
      <c r="AR22" s="7" t="s">
        <v>51</v>
      </c>
      <c r="AS22" s="25" t="s">
        <v>18</v>
      </c>
      <c r="AT22" s="12">
        <v>97</v>
      </c>
      <c r="AU22" s="12">
        <v>18</v>
      </c>
      <c r="AV22" s="32">
        <f t="shared" si="7"/>
        <v>5.3888888888888893</v>
      </c>
      <c r="AW22" s="17">
        <v>5</v>
      </c>
      <c r="AY22" s="41" t="s">
        <v>51</v>
      </c>
      <c r="AZ22" s="42" t="s">
        <v>18</v>
      </c>
      <c r="BA22" s="45">
        <f>(190/15)+(120/15)</f>
        <v>20.666666666666664</v>
      </c>
      <c r="BB22" s="50">
        <f>(1/2)+(50/15)</f>
        <v>3.8333333333333335</v>
      </c>
      <c r="BC22" s="38">
        <v>2</v>
      </c>
      <c r="BD22" s="45">
        <f t="shared" si="1"/>
        <v>41.333333333333329</v>
      </c>
      <c r="BE22" s="45">
        <f t="shared" si="2"/>
        <v>7.666666666666667</v>
      </c>
      <c r="BF22" s="10"/>
      <c r="BG22" s="10"/>
      <c r="BH22" s="41" t="s">
        <v>41</v>
      </c>
      <c r="BI22" s="42" t="s">
        <v>5</v>
      </c>
      <c r="BJ22" s="45">
        <f>(1/2)+(110/15)</f>
        <v>7.833333333333333</v>
      </c>
      <c r="BK22" s="45">
        <f>(310/15)+(50/15)</f>
        <v>24</v>
      </c>
      <c r="BL22" s="10">
        <v>2</v>
      </c>
      <c r="BM22" s="49">
        <f t="shared" si="3"/>
        <v>15.666666666666666</v>
      </c>
      <c r="BN22" s="49">
        <f t="shared" si="4"/>
        <v>48</v>
      </c>
    </row>
    <row r="23" spans="1:66" s="62" customFormat="1" ht="19" customHeight="1" x14ac:dyDescent="0.35">
      <c r="A23" s="60" t="s">
        <v>53</v>
      </c>
      <c r="B23" s="25" t="s">
        <v>20</v>
      </c>
      <c r="C23" s="61" t="s">
        <v>36</v>
      </c>
      <c r="D23" s="61" t="s">
        <v>36</v>
      </c>
      <c r="E23" s="61" t="s">
        <v>36</v>
      </c>
      <c r="F23" s="61" t="s">
        <v>36</v>
      </c>
      <c r="G23" s="61" t="s">
        <v>35</v>
      </c>
      <c r="H23" s="61" t="s">
        <v>36</v>
      </c>
      <c r="I23" s="61" t="s">
        <v>36</v>
      </c>
      <c r="J23" s="61" t="s">
        <v>36</v>
      </c>
      <c r="K23" s="61" t="s">
        <v>36</v>
      </c>
      <c r="L23" s="61" t="s">
        <v>36</v>
      </c>
      <c r="M23" s="61" t="s">
        <v>36</v>
      </c>
      <c r="N23" s="61" t="s">
        <v>36</v>
      </c>
      <c r="O23" s="61" t="s">
        <v>36</v>
      </c>
      <c r="P23" s="61" t="s">
        <v>34</v>
      </c>
      <c r="Q23" s="61" t="s">
        <v>35</v>
      </c>
      <c r="R23" s="61" t="s">
        <v>37</v>
      </c>
      <c r="S23" s="61" t="s">
        <v>34</v>
      </c>
      <c r="T23" s="61" t="s">
        <v>35</v>
      </c>
      <c r="U23" s="61"/>
      <c r="V23" s="61" t="s">
        <v>37</v>
      </c>
      <c r="W23" s="61" t="s">
        <v>34</v>
      </c>
      <c r="X23" s="61" t="s">
        <v>34</v>
      </c>
      <c r="Y23" s="61" t="s">
        <v>35</v>
      </c>
      <c r="Z23" s="61" t="s">
        <v>34</v>
      </c>
      <c r="AA23" s="61" t="s">
        <v>36</v>
      </c>
      <c r="AB23" s="61" t="s">
        <v>36</v>
      </c>
      <c r="AC23" s="61" t="s">
        <v>36</v>
      </c>
      <c r="AD23" s="61" t="s">
        <v>36</v>
      </c>
      <c r="AE23" s="61" t="s">
        <v>36</v>
      </c>
      <c r="AF23" s="61" t="s">
        <v>36</v>
      </c>
      <c r="AG23" s="62">
        <f>(16*2)+(8*5)+(4*4)+(2*18)</f>
        <v>124</v>
      </c>
      <c r="AM23" s="2">
        <v>18</v>
      </c>
      <c r="AN23" s="3" t="s">
        <v>19</v>
      </c>
      <c r="AO23" s="51">
        <v>1</v>
      </c>
      <c r="AP23" s="51"/>
      <c r="AR23" s="58" t="s">
        <v>75</v>
      </c>
      <c r="AS23" s="58"/>
      <c r="AT23" s="37">
        <f>SUM(AT14:AT22)/9</f>
        <v>49.666666666666664</v>
      </c>
      <c r="AU23" s="37">
        <f t="shared" ref="AU23:AW23" si="8">SUM(AU14:AU22)/9</f>
        <v>10.666666666666666</v>
      </c>
      <c r="AV23" s="37">
        <f t="shared" si="8"/>
        <v>4.4062915479582143</v>
      </c>
      <c r="AW23" s="37">
        <f t="shared" si="8"/>
        <v>4.4444444444444446</v>
      </c>
      <c r="AY23" s="41" t="s">
        <v>52</v>
      </c>
      <c r="AZ23" s="42" t="s">
        <v>19</v>
      </c>
      <c r="BA23" s="45">
        <f>(190/15)+(110/15)</f>
        <v>20</v>
      </c>
      <c r="BB23" s="50">
        <f>(210/15)+(40/15)</f>
        <v>16.666666666666668</v>
      </c>
      <c r="BC23" s="38">
        <v>2</v>
      </c>
      <c r="BD23" s="45">
        <f t="shared" si="1"/>
        <v>40</v>
      </c>
      <c r="BE23" s="45">
        <f t="shared" si="2"/>
        <v>33.333333333333336</v>
      </c>
      <c r="BF23" s="10"/>
      <c r="BG23" s="10"/>
      <c r="BH23" s="41" t="s">
        <v>37</v>
      </c>
      <c r="BI23" s="42" t="s">
        <v>6</v>
      </c>
      <c r="BJ23" s="45">
        <f>(1/2)+(70/15)</f>
        <v>5.166666666666667</v>
      </c>
      <c r="BK23" s="45">
        <f>(310/15)+(60/15)</f>
        <v>24.666666666666668</v>
      </c>
      <c r="BL23" s="10">
        <v>2</v>
      </c>
      <c r="BM23" s="49">
        <f t="shared" si="3"/>
        <v>10.333333333333334</v>
      </c>
      <c r="BN23" s="49">
        <f t="shared" si="4"/>
        <v>49.333333333333336</v>
      </c>
    </row>
    <row r="24" spans="1:66" s="62" customFormat="1" ht="19" customHeight="1" x14ac:dyDescent="0.35">
      <c r="A24" s="60" t="s">
        <v>54</v>
      </c>
      <c r="B24" s="25" t="s">
        <v>21</v>
      </c>
      <c r="C24" s="61" t="s">
        <v>36</v>
      </c>
      <c r="D24" s="61" t="s">
        <v>36</v>
      </c>
      <c r="E24" s="61" t="s">
        <v>36</v>
      </c>
      <c r="F24" s="61" t="s">
        <v>36</v>
      </c>
      <c r="G24" s="61" t="s">
        <v>36</v>
      </c>
      <c r="H24" s="61" t="s">
        <v>35</v>
      </c>
      <c r="I24" s="61" t="s">
        <v>36</v>
      </c>
      <c r="J24" s="61" t="s">
        <v>36</v>
      </c>
      <c r="K24" s="61" t="s">
        <v>36</v>
      </c>
      <c r="L24" s="61" t="s">
        <v>36</v>
      </c>
      <c r="M24" s="61" t="s">
        <v>36</v>
      </c>
      <c r="N24" s="61" t="s">
        <v>36</v>
      </c>
      <c r="O24" s="61" t="s">
        <v>36</v>
      </c>
      <c r="P24" s="61" t="s">
        <v>36</v>
      </c>
      <c r="Q24" s="61" t="s">
        <v>34</v>
      </c>
      <c r="R24" s="61" t="s">
        <v>35</v>
      </c>
      <c r="S24" s="61" t="s">
        <v>33</v>
      </c>
      <c r="T24" s="61" t="s">
        <v>37</v>
      </c>
      <c r="U24" s="61" t="s">
        <v>37</v>
      </c>
      <c r="V24" s="61"/>
      <c r="W24" s="61" t="s">
        <v>37</v>
      </c>
      <c r="X24" s="61" t="s">
        <v>34</v>
      </c>
      <c r="Y24" s="61" t="s">
        <v>33</v>
      </c>
      <c r="Z24" s="61" t="s">
        <v>35</v>
      </c>
      <c r="AA24" s="61" t="s">
        <v>34</v>
      </c>
      <c r="AB24" s="61" t="s">
        <v>36</v>
      </c>
      <c r="AC24" s="61" t="s">
        <v>36</v>
      </c>
      <c r="AD24" s="61" t="s">
        <v>36</v>
      </c>
      <c r="AE24" s="61" t="s">
        <v>36</v>
      </c>
      <c r="AF24" s="61" t="s">
        <v>36</v>
      </c>
      <c r="AG24" s="62">
        <f>(32*2)+(16*3)+(8*3)+(4*3)+(2*18)</f>
        <v>184</v>
      </c>
      <c r="AM24" s="2">
        <v>19</v>
      </c>
      <c r="AN24" s="3" t="s">
        <v>20</v>
      </c>
      <c r="AO24" s="51">
        <v>1</v>
      </c>
      <c r="AP24" s="51"/>
      <c r="AR24"/>
      <c r="AS24"/>
      <c r="AT24"/>
      <c r="AU24"/>
      <c r="AV24"/>
      <c r="AW24"/>
      <c r="AY24" s="41" t="s">
        <v>53</v>
      </c>
      <c r="AZ24" s="42" t="s">
        <v>20</v>
      </c>
      <c r="BA24" s="45">
        <f>(190/15)+(140/15)</f>
        <v>22</v>
      </c>
      <c r="BB24" s="50">
        <f>(110/15)+(40/15)</f>
        <v>10</v>
      </c>
      <c r="BC24" s="38">
        <v>2</v>
      </c>
      <c r="BD24" s="45">
        <f t="shared" si="1"/>
        <v>44</v>
      </c>
      <c r="BE24" s="45">
        <f t="shared" si="2"/>
        <v>20</v>
      </c>
      <c r="BF24" s="10"/>
      <c r="BG24" s="10"/>
      <c r="BH24" s="41" t="s">
        <v>43</v>
      </c>
      <c r="BI24" s="42" t="s">
        <v>8</v>
      </c>
      <c r="BJ24" s="45">
        <f>(1/2)+(40/15)</f>
        <v>3.1666666666666665</v>
      </c>
      <c r="BK24" s="45">
        <f>(310/15)+(70/15)</f>
        <v>25.333333333333336</v>
      </c>
      <c r="BL24" s="10">
        <v>2</v>
      </c>
      <c r="BM24" s="49">
        <f t="shared" si="3"/>
        <v>6.333333333333333</v>
      </c>
      <c r="BN24" s="49">
        <f t="shared" si="4"/>
        <v>50.666666666666671</v>
      </c>
    </row>
    <row r="25" spans="1:66" s="62" customFormat="1" ht="19" customHeight="1" x14ac:dyDescent="0.35">
      <c r="A25" s="60" t="s">
        <v>36</v>
      </c>
      <c r="B25" s="25" t="s">
        <v>22</v>
      </c>
      <c r="C25" s="61" t="s">
        <v>36</v>
      </c>
      <c r="D25" s="61" t="s">
        <v>34</v>
      </c>
      <c r="E25" s="61" t="s">
        <v>36</v>
      </c>
      <c r="F25" s="61" t="s">
        <v>36</v>
      </c>
      <c r="G25" s="61" t="s">
        <v>36</v>
      </c>
      <c r="H25" s="61" t="s">
        <v>36</v>
      </c>
      <c r="I25" s="61" t="s">
        <v>35</v>
      </c>
      <c r="J25" s="61" t="s">
        <v>36</v>
      </c>
      <c r="K25" s="61" t="s">
        <v>36</v>
      </c>
      <c r="L25" s="61" t="s">
        <v>36</v>
      </c>
      <c r="M25" s="61" t="s">
        <v>36</v>
      </c>
      <c r="N25" s="61" t="s">
        <v>36</v>
      </c>
      <c r="O25" s="61" t="s">
        <v>36</v>
      </c>
      <c r="P25" s="61" t="s">
        <v>36</v>
      </c>
      <c r="Q25" s="61" t="s">
        <v>36</v>
      </c>
      <c r="R25" s="61" t="s">
        <v>34</v>
      </c>
      <c r="S25" s="61" t="s">
        <v>35</v>
      </c>
      <c r="T25" s="61" t="s">
        <v>33</v>
      </c>
      <c r="U25" s="61" t="s">
        <v>34</v>
      </c>
      <c r="V25" s="61" t="s">
        <v>37</v>
      </c>
      <c r="W25" s="61"/>
      <c r="X25" s="61" t="s">
        <v>33</v>
      </c>
      <c r="Y25" s="61" t="s">
        <v>34</v>
      </c>
      <c r="Z25" s="61" t="s">
        <v>34</v>
      </c>
      <c r="AA25" s="61" t="s">
        <v>35</v>
      </c>
      <c r="AB25" s="61" t="s">
        <v>34</v>
      </c>
      <c r="AC25" s="61" t="s">
        <v>36</v>
      </c>
      <c r="AD25" s="61" t="s">
        <v>36</v>
      </c>
      <c r="AE25" s="61" t="s">
        <v>36</v>
      </c>
      <c r="AF25" s="61" t="s">
        <v>36</v>
      </c>
      <c r="AG25" s="62">
        <f>(32*2)+(16*1)+(8*6)+(4*3)+(2*17)</f>
        <v>174</v>
      </c>
      <c r="AM25" s="2">
        <v>20</v>
      </c>
      <c r="AN25" s="3" t="s">
        <v>21</v>
      </c>
      <c r="AO25" s="51">
        <v>2</v>
      </c>
      <c r="AP25" s="51"/>
      <c r="AR25" s="7" t="s">
        <v>50</v>
      </c>
      <c r="AS25" s="25" t="s">
        <v>17</v>
      </c>
      <c r="AT25" s="12">
        <v>47</v>
      </c>
      <c r="AU25" s="12">
        <v>9</v>
      </c>
      <c r="AV25" s="32">
        <f t="shared" ref="AV25:AV31" si="9">AT25/AU25</f>
        <v>5.2222222222222223</v>
      </c>
      <c r="AW25" s="17">
        <v>5</v>
      </c>
      <c r="AY25" s="41" t="s">
        <v>54</v>
      </c>
      <c r="AZ25" s="42" t="s">
        <v>21</v>
      </c>
      <c r="BA25" s="45">
        <f>(190/15)+(100/15)</f>
        <v>19.333333333333332</v>
      </c>
      <c r="BB25" s="50">
        <f>(210/15)+(70/15)</f>
        <v>18.666666666666668</v>
      </c>
      <c r="BC25" s="38">
        <v>1</v>
      </c>
      <c r="BD25" s="45">
        <f t="shared" si="1"/>
        <v>19.333333333333332</v>
      </c>
      <c r="BE25" s="45">
        <f t="shared" si="2"/>
        <v>18.666666666666668</v>
      </c>
      <c r="BF25" s="10"/>
      <c r="BG25" s="10"/>
      <c r="BH25" s="41" t="s">
        <v>44</v>
      </c>
      <c r="BI25" s="42" t="s">
        <v>9</v>
      </c>
      <c r="BJ25" s="45">
        <f>(1/2)+(50/15)</f>
        <v>3.8333333333333335</v>
      </c>
      <c r="BK25" s="45">
        <f>(310/15)+(80/15)</f>
        <v>26</v>
      </c>
      <c r="BL25" s="10">
        <v>2</v>
      </c>
      <c r="BM25" s="49">
        <f t="shared" si="3"/>
        <v>7.666666666666667</v>
      </c>
      <c r="BN25" s="49">
        <f t="shared" si="4"/>
        <v>52</v>
      </c>
    </row>
    <row r="26" spans="1:66" s="62" customFormat="1" ht="19" customHeight="1" x14ac:dyDescent="0.35">
      <c r="A26" s="60" t="s">
        <v>55</v>
      </c>
      <c r="B26" s="25" t="s">
        <v>23</v>
      </c>
      <c r="C26" s="61" t="s">
        <v>36</v>
      </c>
      <c r="D26" s="61" t="s">
        <v>34</v>
      </c>
      <c r="E26" s="61" t="s">
        <v>34</v>
      </c>
      <c r="F26" s="61" t="s">
        <v>36</v>
      </c>
      <c r="G26" s="61" t="s">
        <v>36</v>
      </c>
      <c r="H26" s="61" t="s">
        <v>36</v>
      </c>
      <c r="I26" s="61" t="s">
        <v>36</v>
      </c>
      <c r="J26" s="61" t="s">
        <v>35</v>
      </c>
      <c r="K26" s="61" t="s">
        <v>36</v>
      </c>
      <c r="L26" s="61" t="s">
        <v>36</v>
      </c>
      <c r="M26" s="61" t="s">
        <v>36</v>
      </c>
      <c r="N26" s="61" t="s">
        <v>36</v>
      </c>
      <c r="O26" s="61" t="s">
        <v>36</v>
      </c>
      <c r="P26" s="61" t="s">
        <v>36</v>
      </c>
      <c r="Q26" s="61" t="s">
        <v>36</v>
      </c>
      <c r="R26" s="61" t="s">
        <v>36</v>
      </c>
      <c r="S26" s="61" t="s">
        <v>34</v>
      </c>
      <c r="T26" s="61" t="s">
        <v>33</v>
      </c>
      <c r="U26" s="61" t="s">
        <v>34</v>
      </c>
      <c r="V26" s="61" t="s">
        <v>34</v>
      </c>
      <c r="W26" s="61" t="s">
        <v>33</v>
      </c>
      <c r="X26" s="61"/>
      <c r="Y26" s="61" t="s">
        <v>33</v>
      </c>
      <c r="Z26" s="61" t="s">
        <v>34</v>
      </c>
      <c r="AA26" s="61" t="s">
        <v>33</v>
      </c>
      <c r="AB26" s="61" t="s">
        <v>35</v>
      </c>
      <c r="AC26" s="61" t="s">
        <v>34</v>
      </c>
      <c r="AD26" s="61" t="s">
        <v>36</v>
      </c>
      <c r="AE26" s="61" t="s">
        <v>36</v>
      </c>
      <c r="AF26" s="61" t="s">
        <v>36</v>
      </c>
      <c r="AG26" s="62">
        <f>(32*4)+(8*7)+(4*2)+(2*16)</f>
        <v>224</v>
      </c>
      <c r="AM26" s="2">
        <v>21</v>
      </c>
      <c r="AN26" s="3" t="s">
        <v>22</v>
      </c>
      <c r="AO26" s="51">
        <v>1</v>
      </c>
      <c r="AP26" s="51"/>
      <c r="AR26" s="7" t="s">
        <v>53</v>
      </c>
      <c r="AS26" s="25" t="s">
        <v>20</v>
      </c>
      <c r="AT26" s="12">
        <v>29</v>
      </c>
      <c r="AU26" s="12">
        <v>6</v>
      </c>
      <c r="AV26" s="32">
        <f t="shared" si="9"/>
        <v>4.833333333333333</v>
      </c>
      <c r="AW26" s="17">
        <v>5</v>
      </c>
      <c r="AY26" s="41" t="s">
        <v>36</v>
      </c>
      <c r="AZ26" s="42" t="s">
        <v>22</v>
      </c>
      <c r="BA26" s="45">
        <f>(190/15)+(130/15)</f>
        <v>21.333333333333332</v>
      </c>
      <c r="BB26" s="50">
        <f>(210/15)+(50/15)</f>
        <v>17.333333333333332</v>
      </c>
      <c r="BC26" s="38">
        <v>1</v>
      </c>
      <c r="BD26" s="45">
        <f t="shared" si="1"/>
        <v>21.333333333333332</v>
      </c>
      <c r="BE26" s="45">
        <f t="shared" si="2"/>
        <v>17.333333333333332</v>
      </c>
      <c r="BF26" s="10"/>
      <c r="BG26" s="10"/>
      <c r="BH26" s="41" t="s">
        <v>34</v>
      </c>
      <c r="BI26" s="42" t="s">
        <v>10</v>
      </c>
      <c r="BJ26" s="45">
        <f>(110/15)+(40/15)</f>
        <v>10</v>
      </c>
      <c r="BK26" s="45">
        <f>(310/15)+(90/15)</f>
        <v>26.666666666666668</v>
      </c>
      <c r="BL26" s="10">
        <v>2</v>
      </c>
      <c r="BM26" s="49">
        <f t="shared" si="3"/>
        <v>20</v>
      </c>
      <c r="BN26" s="49">
        <f t="shared" si="4"/>
        <v>53.333333333333336</v>
      </c>
    </row>
    <row r="27" spans="1:66" s="62" customFormat="1" ht="19" customHeight="1" x14ac:dyDescent="0.35">
      <c r="A27" s="60" t="s">
        <v>56</v>
      </c>
      <c r="B27" s="25" t="s">
        <v>24</v>
      </c>
      <c r="C27" s="61" t="s">
        <v>36</v>
      </c>
      <c r="D27" s="61" t="s">
        <v>34</v>
      </c>
      <c r="E27" s="61" t="s">
        <v>34</v>
      </c>
      <c r="F27" s="61" t="s">
        <v>34</v>
      </c>
      <c r="G27" s="61" t="s">
        <v>36</v>
      </c>
      <c r="H27" s="61" t="s">
        <v>36</v>
      </c>
      <c r="I27" s="61" t="s">
        <v>36</v>
      </c>
      <c r="J27" s="61" t="s">
        <v>36</v>
      </c>
      <c r="K27" s="61" t="s">
        <v>35</v>
      </c>
      <c r="L27" s="61" t="s">
        <v>36</v>
      </c>
      <c r="M27" s="61" t="s">
        <v>36</v>
      </c>
      <c r="N27" s="61" t="s">
        <v>36</v>
      </c>
      <c r="O27" s="61" t="s">
        <v>36</v>
      </c>
      <c r="P27" s="61" t="s">
        <v>36</v>
      </c>
      <c r="Q27" s="61" t="s">
        <v>36</v>
      </c>
      <c r="R27" s="61" t="s">
        <v>36</v>
      </c>
      <c r="S27" s="61" t="s">
        <v>36</v>
      </c>
      <c r="T27" s="61" t="s">
        <v>34</v>
      </c>
      <c r="U27" s="61" t="s">
        <v>35</v>
      </c>
      <c r="V27" s="61" t="s">
        <v>33</v>
      </c>
      <c r="W27" s="61" t="s">
        <v>34</v>
      </c>
      <c r="X27" s="61" t="s">
        <v>33</v>
      </c>
      <c r="Y27" s="61"/>
      <c r="Z27" s="61" t="s">
        <v>37</v>
      </c>
      <c r="AA27" s="61" t="s">
        <v>33</v>
      </c>
      <c r="AB27" s="61" t="s">
        <v>33</v>
      </c>
      <c r="AC27" s="61" t="s">
        <v>35</v>
      </c>
      <c r="AD27" s="61" t="s">
        <v>34</v>
      </c>
      <c r="AE27" s="61" t="s">
        <v>36</v>
      </c>
      <c r="AF27" s="61" t="s">
        <v>36</v>
      </c>
      <c r="AG27" s="62">
        <f>(32*4)+(16*1)+(8*6)+(4*3)+(2*15)</f>
        <v>234</v>
      </c>
      <c r="AM27" s="2">
        <v>22</v>
      </c>
      <c r="AN27" s="3" t="s">
        <v>23</v>
      </c>
      <c r="AO27" s="51">
        <v>1</v>
      </c>
      <c r="AP27" s="51"/>
      <c r="AR27" s="7" t="s">
        <v>38</v>
      </c>
      <c r="AS27" s="6" t="s">
        <v>25</v>
      </c>
      <c r="AT27" s="7">
        <v>123</v>
      </c>
      <c r="AU27" s="7">
        <v>19</v>
      </c>
      <c r="AV27" s="32">
        <f t="shared" si="9"/>
        <v>6.4736842105263159</v>
      </c>
      <c r="AW27" s="17">
        <v>7</v>
      </c>
      <c r="AY27" s="41" t="s">
        <v>55</v>
      </c>
      <c r="AZ27" s="42" t="s">
        <v>23</v>
      </c>
      <c r="BA27" s="45">
        <f>(190/15)+(80/15)</f>
        <v>18</v>
      </c>
      <c r="BB27" s="50">
        <f>(210/15)+(60/15)</f>
        <v>18</v>
      </c>
      <c r="BC27" s="38">
        <v>1</v>
      </c>
      <c r="BD27" s="45">
        <f t="shared" si="1"/>
        <v>18</v>
      </c>
      <c r="BE27" s="45">
        <f t="shared" si="2"/>
        <v>18</v>
      </c>
      <c r="BF27" s="10"/>
      <c r="BG27" s="10"/>
      <c r="BH27" s="41" t="s">
        <v>45</v>
      </c>
      <c r="BI27" s="42" t="s">
        <v>11</v>
      </c>
      <c r="BJ27" s="45">
        <f>(1/2)+(30/15)</f>
        <v>2.5</v>
      </c>
      <c r="BK27" s="45">
        <f>(210/15)+(100/15)</f>
        <v>20.666666666666668</v>
      </c>
      <c r="BL27" s="10">
        <v>2</v>
      </c>
      <c r="BM27" s="49">
        <f t="shared" si="3"/>
        <v>5</v>
      </c>
      <c r="BN27" s="49">
        <f t="shared" si="4"/>
        <v>41.333333333333336</v>
      </c>
    </row>
    <row r="28" spans="1:66" s="62" customFormat="1" ht="19" customHeight="1" x14ac:dyDescent="0.35">
      <c r="A28" s="60" t="s">
        <v>38</v>
      </c>
      <c r="B28" s="63" t="s">
        <v>25</v>
      </c>
      <c r="C28" s="61" t="s">
        <v>36</v>
      </c>
      <c r="D28" s="61" t="s">
        <v>34</v>
      </c>
      <c r="E28" s="61" t="s">
        <v>36</v>
      </c>
      <c r="F28" s="61" t="s">
        <v>36</v>
      </c>
      <c r="G28" s="61" t="s">
        <v>36</v>
      </c>
      <c r="H28" s="61" t="s">
        <v>36</v>
      </c>
      <c r="I28" s="61" t="s">
        <v>36</v>
      </c>
      <c r="J28" s="61" t="s">
        <v>36</v>
      </c>
      <c r="K28" s="61" t="s">
        <v>36</v>
      </c>
      <c r="L28" s="61" t="s">
        <v>35</v>
      </c>
      <c r="M28" s="61" t="s">
        <v>36</v>
      </c>
      <c r="N28" s="61" t="s">
        <v>36</v>
      </c>
      <c r="O28" s="61" t="s">
        <v>36</v>
      </c>
      <c r="P28" s="61" t="s">
        <v>36</v>
      </c>
      <c r="Q28" s="61" t="s">
        <v>36</v>
      </c>
      <c r="R28" s="61" t="s">
        <v>36</v>
      </c>
      <c r="S28" s="61" t="s">
        <v>36</v>
      </c>
      <c r="T28" s="61" t="s">
        <v>36</v>
      </c>
      <c r="U28" s="61" t="s">
        <v>34</v>
      </c>
      <c r="V28" s="61" t="s">
        <v>35</v>
      </c>
      <c r="W28" s="61" t="s">
        <v>34</v>
      </c>
      <c r="X28" s="61" t="s">
        <v>34</v>
      </c>
      <c r="Y28" s="61" t="s">
        <v>37</v>
      </c>
      <c r="Z28" s="61"/>
      <c r="AA28" s="61" t="s">
        <v>34</v>
      </c>
      <c r="AB28" s="61" t="s">
        <v>37</v>
      </c>
      <c r="AC28" s="61" t="s">
        <v>33</v>
      </c>
      <c r="AD28" s="61" t="s">
        <v>33</v>
      </c>
      <c r="AE28" s="61" t="s">
        <v>34</v>
      </c>
      <c r="AF28" s="61" t="s">
        <v>33</v>
      </c>
      <c r="AG28" s="62">
        <f>(32*3)+(16*2)+(8*6)+(4*2)+(2*17)</f>
        <v>218</v>
      </c>
      <c r="AM28" s="2">
        <v>23</v>
      </c>
      <c r="AN28" s="3" t="s">
        <v>24</v>
      </c>
      <c r="AO28" s="51">
        <v>1</v>
      </c>
      <c r="AP28" s="51"/>
      <c r="AR28" s="7" t="s">
        <v>59</v>
      </c>
      <c r="AS28" s="6" t="s">
        <v>28</v>
      </c>
      <c r="AT28" s="7">
        <v>35</v>
      </c>
      <c r="AU28" s="7">
        <v>9</v>
      </c>
      <c r="AV28" s="32">
        <f t="shared" si="9"/>
        <v>3.8888888888888888</v>
      </c>
      <c r="AW28" s="17">
        <v>4</v>
      </c>
      <c r="AY28" s="41" t="s">
        <v>56</v>
      </c>
      <c r="AZ28" s="42" t="s">
        <v>24</v>
      </c>
      <c r="BA28" s="45">
        <f>(340/15)+(210/15)</f>
        <v>36.666666666666671</v>
      </c>
      <c r="BB28" s="50">
        <f>(210/15)+(80/15)</f>
        <v>19.333333333333332</v>
      </c>
      <c r="BC28" s="38">
        <v>1</v>
      </c>
      <c r="BD28" s="45">
        <f t="shared" si="1"/>
        <v>36.666666666666671</v>
      </c>
      <c r="BE28" s="45">
        <f t="shared" si="2"/>
        <v>19.333333333333332</v>
      </c>
      <c r="BF28" s="10"/>
      <c r="BG28" s="10"/>
      <c r="BH28" s="41" t="s">
        <v>46</v>
      </c>
      <c r="BI28" s="42" t="s">
        <v>12</v>
      </c>
      <c r="BJ28" s="45">
        <f>(110/15)+(50/15)</f>
        <v>10.666666666666666</v>
      </c>
      <c r="BK28" s="45">
        <f>(310/15)+(40/15)</f>
        <v>23.333333333333336</v>
      </c>
      <c r="BL28" s="10">
        <v>2</v>
      </c>
      <c r="BM28" s="49">
        <f t="shared" si="3"/>
        <v>21.333333333333332</v>
      </c>
      <c r="BN28" s="49">
        <f t="shared" si="4"/>
        <v>46.666666666666671</v>
      </c>
    </row>
    <row r="29" spans="1:66" s="62" customFormat="1" ht="19" customHeight="1" x14ac:dyDescent="0.35">
      <c r="A29" s="60" t="s">
        <v>57</v>
      </c>
      <c r="B29" s="63" t="s">
        <v>26</v>
      </c>
      <c r="C29" s="61" t="s">
        <v>36</v>
      </c>
      <c r="D29" s="61" t="s">
        <v>36</v>
      </c>
      <c r="E29" s="61" t="s">
        <v>36</v>
      </c>
      <c r="F29" s="61" t="s">
        <v>36</v>
      </c>
      <c r="G29" s="61" t="s">
        <v>36</v>
      </c>
      <c r="H29" s="61" t="s">
        <v>36</v>
      </c>
      <c r="I29" s="61" t="s">
        <v>36</v>
      </c>
      <c r="J29" s="61" t="s">
        <v>36</v>
      </c>
      <c r="K29" s="61" t="s">
        <v>36</v>
      </c>
      <c r="L29" s="61" t="s">
        <v>36</v>
      </c>
      <c r="M29" s="61" t="s">
        <v>35</v>
      </c>
      <c r="N29" s="61" t="s">
        <v>36</v>
      </c>
      <c r="O29" s="61" t="s">
        <v>36</v>
      </c>
      <c r="P29" s="61" t="s">
        <v>36</v>
      </c>
      <c r="Q29" s="61" t="s">
        <v>36</v>
      </c>
      <c r="R29" s="61" t="s">
        <v>36</v>
      </c>
      <c r="S29" s="61" t="s">
        <v>36</v>
      </c>
      <c r="T29" s="61" t="s">
        <v>36</v>
      </c>
      <c r="U29" s="61" t="s">
        <v>36</v>
      </c>
      <c r="V29" s="61" t="s">
        <v>34</v>
      </c>
      <c r="W29" s="61" t="s">
        <v>35</v>
      </c>
      <c r="X29" s="61" t="s">
        <v>33</v>
      </c>
      <c r="Y29" s="61" t="s">
        <v>33</v>
      </c>
      <c r="Z29" s="61" t="s">
        <v>34</v>
      </c>
      <c r="AA29" s="61"/>
      <c r="AB29" s="61" t="s">
        <v>34</v>
      </c>
      <c r="AC29" s="61" t="s">
        <v>33</v>
      </c>
      <c r="AD29" s="61" t="s">
        <v>33</v>
      </c>
      <c r="AE29" s="61" t="s">
        <v>35</v>
      </c>
      <c r="AF29" s="61" t="s">
        <v>34</v>
      </c>
      <c r="AG29" s="62">
        <f>(32*4)+(8*4)+(4*3)+(2*18)</f>
        <v>208</v>
      </c>
      <c r="AM29" s="2">
        <v>24</v>
      </c>
      <c r="AN29" s="2" t="s">
        <v>25</v>
      </c>
      <c r="AO29" s="51">
        <v>2</v>
      </c>
      <c r="AP29" s="51"/>
      <c r="AR29" s="7" t="s">
        <v>60</v>
      </c>
      <c r="AS29" s="6" t="s">
        <v>29</v>
      </c>
      <c r="AT29" s="7">
        <v>40</v>
      </c>
      <c r="AU29" s="7">
        <v>8</v>
      </c>
      <c r="AV29" s="32">
        <f t="shared" si="9"/>
        <v>5</v>
      </c>
      <c r="AW29" s="17">
        <v>5</v>
      </c>
      <c r="AY29" s="41" t="s">
        <v>38</v>
      </c>
      <c r="AZ29" s="38" t="s">
        <v>25</v>
      </c>
      <c r="BA29" s="45">
        <f>(340/15)+(180/15)</f>
        <v>34.666666666666671</v>
      </c>
      <c r="BB29" s="50">
        <f>(110/15)+(70/15)</f>
        <v>12</v>
      </c>
      <c r="BC29" s="38">
        <v>1</v>
      </c>
      <c r="BD29" s="45">
        <f t="shared" si="1"/>
        <v>34.666666666666671</v>
      </c>
      <c r="BE29" s="45">
        <f t="shared" si="2"/>
        <v>12</v>
      </c>
      <c r="BF29" s="10"/>
      <c r="BG29" s="10"/>
      <c r="BH29" s="41" t="s">
        <v>49</v>
      </c>
      <c r="BI29" s="42" t="s">
        <v>15</v>
      </c>
      <c r="BJ29" s="45">
        <f>(110/15)+(60/15)</f>
        <v>11.333333333333332</v>
      </c>
      <c r="BK29" s="45">
        <f>(210/15)+(80/15)</f>
        <v>19.333333333333332</v>
      </c>
      <c r="BL29" s="10">
        <v>2</v>
      </c>
      <c r="BM29" s="49">
        <f t="shared" si="3"/>
        <v>22.666666666666664</v>
      </c>
      <c r="BN29" s="49">
        <f t="shared" si="4"/>
        <v>38.666666666666664</v>
      </c>
    </row>
    <row r="30" spans="1:66" s="62" customFormat="1" ht="19" customHeight="1" x14ac:dyDescent="0.35">
      <c r="A30" s="60" t="s">
        <v>58</v>
      </c>
      <c r="B30" s="63" t="s">
        <v>27</v>
      </c>
      <c r="C30" s="61" t="s">
        <v>36</v>
      </c>
      <c r="D30" s="61" t="s">
        <v>36</v>
      </c>
      <c r="E30" s="61" t="s">
        <v>36</v>
      </c>
      <c r="F30" s="61" t="s">
        <v>36</v>
      </c>
      <c r="G30" s="61" t="s">
        <v>36</v>
      </c>
      <c r="H30" s="61" t="s">
        <v>36</v>
      </c>
      <c r="I30" s="61" t="s">
        <v>36</v>
      </c>
      <c r="J30" s="61" t="s">
        <v>36</v>
      </c>
      <c r="K30" s="61" t="s">
        <v>36</v>
      </c>
      <c r="L30" s="61" t="s">
        <v>36</v>
      </c>
      <c r="M30" s="61" t="s">
        <v>36</v>
      </c>
      <c r="N30" s="61" t="s">
        <v>35</v>
      </c>
      <c r="O30" s="61" t="s">
        <v>36</v>
      </c>
      <c r="P30" s="61" t="s">
        <v>36</v>
      </c>
      <c r="Q30" s="61" t="s">
        <v>36</v>
      </c>
      <c r="R30" s="61" t="s">
        <v>36</v>
      </c>
      <c r="S30" s="61" t="s">
        <v>36</v>
      </c>
      <c r="T30" s="61" t="s">
        <v>36</v>
      </c>
      <c r="U30" s="61" t="s">
        <v>36</v>
      </c>
      <c r="V30" s="61" t="s">
        <v>36</v>
      </c>
      <c r="W30" s="61" t="s">
        <v>34</v>
      </c>
      <c r="X30" s="61" t="s">
        <v>35</v>
      </c>
      <c r="Y30" s="61" t="s">
        <v>33</v>
      </c>
      <c r="Z30" s="61" t="s">
        <v>37</v>
      </c>
      <c r="AA30" s="61" t="s">
        <v>34</v>
      </c>
      <c r="AB30" s="61"/>
      <c r="AC30" s="61" t="s">
        <v>33</v>
      </c>
      <c r="AD30" s="61" t="s">
        <v>34</v>
      </c>
      <c r="AE30" s="61" t="s">
        <v>33</v>
      </c>
      <c r="AF30" s="61" t="s">
        <v>35</v>
      </c>
      <c r="AG30" s="62">
        <f>(32*3)+(16*1)+(8*3)+(4*3)+(2*19)</f>
        <v>186</v>
      </c>
      <c r="AM30" s="2">
        <v>25</v>
      </c>
      <c r="AN30" s="2" t="s">
        <v>26</v>
      </c>
      <c r="AO30" s="51">
        <v>3</v>
      </c>
      <c r="AP30" s="51"/>
      <c r="AR30" s="7" t="s">
        <v>61</v>
      </c>
      <c r="AS30" s="6" t="s">
        <v>30</v>
      </c>
      <c r="AT30" s="7">
        <v>36</v>
      </c>
      <c r="AU30" s="7">
        <v>9</v>
      </c>
      <c r="AV30" s="32">
        <f t="shared" si="9"/>
        <v>4</v>
      </c>
      <c r="AW30" s="17">
        <v>4</v>
      </c>
      <c r="AY30" s="41" t="s">
        <v>57</v>
      </c>
      <c r="AZ30" s="38" t="s">
        <v>26</v>
      </c>
      <c r="BA30" s="45">
        <f>(340/15)+(150/15)</f>
        <v>32.666666666666671</v>
      </c>
      <c r="BB30" s="50">
        <f>(210/15)+(90/15)</f>
        <v>20</v>
      </c>
      <c r="BC30" s="38">
        <v>1</v>
      </c>
      <c r="BD30" s="45">
        <f t="shared" si="1"/>
        <v>32.666666666666671</v>
      </c>
      <c r="BE30" s="45">
        <f t="shared" si="2"/>
        <v>20</v>
      </c>
      <c r="BF30" s="10"/>
      <c r="BG30" s="10"/>
      <c r="BH30" s="41" t="s">
        <v>51</v>
      </c>
      <c r="BI30" s="42" t="s">
        <v>18</v>
      </c>
      <c r="BJ30" s="45">
        <f>(190/15)+(120/15)</f>
        <v>20.666666666666664</v>
      </c>
      <c r="BK30" s="45">
        <f>(210/15)+(90/15)</f>
        <v>20</v>
      </c>
      <c r="BL30" s="10">
        <v>2</v>
      </c>
      <c r="BM30" s="49">
        <f t="shared" si="3"/>
        <v>41.333333333333329</v>
      </c>
      <c r="BN30" s="49">
        <f t="shared" si="4"/>
        <v>40</v>
      </c>
    </row>
    <row r="31" spans="1:66" ht="19" customHeight="1" x14ac:dyDescent="0.35">
      <c r="A31" s="4" t="s">
        <v>59</v>
      </c>
      <c r="B31" s="6" t="s">
        <v>28</v>
      </c>
      <c r="C31" s="7" t="s">
        <v>36</v>
      </c>
      <c r="D31" s="7" t="s">
        <v>36</v>
      </c>
      <c r="E31" s="7" t="s">
        <v>36</v>
      </c>
      <c r="F31" s="7" t="s">
        <v>36</v>
      </c>
      <c r="G31" s="7" t="s">
        <v>36</v>
      </c>
      <c r="H31" s="7" t="s">
        <v>36</v>
      </c>
      <c r="I31" s="7" t="s">
        <v>36</v>
      </c>
      <c r="J31" s="7" t="s">
        <v>36</v>
      </c>
      <c r="K31" s="7" t="s">
        <v>36</v>
      </c>
      <c r="L31" s="7" t="s">
        <v>36</v>
      </c>
      <c r="M31" s="7" t="s">
        <v>36</v>
      </c>
      <c r="N31" s="7" t="s">
        <v>36</v>
      </c>
      <c r="O31" s="7" t="s">
        <v>35</v>
      </c>
      <c r="P31" s="7" t="s">
        <v>36</v>
      </c>
      <c r="Q31" s="7" t="s">
        <v>36</v>
      </c>
      <c r="R31" s="7" t="s">
        <v>36</v>
      </c>
      <c r="S31" s="7" t="s">
        <v>36</v>
      </c>
      <c r="T31" s="7" t="s">
        <v>36</v>
      </c>
      <c r="U31" s="7" t="s">
        <v>36</v>
      </c>
      <c r="V31" s="7" t="s">
        <v>36</v>
      </c>
      <c r="W31" s="7" t="s">
        <v>36</v>
      </c>
      <c r="X31" s="7" t="s">
        <v>34</v>
      </c>
      <c r="Y31" s="7" t="s">
        <v>35</v>
      </c>
      <c r="Z31" s="7" t="s">
        <v>33</v>
      </c>
      <c r="AA31" s="7" t="s">
        <v>33</v>
      </c>
      <c r="AB31" s="7" t="s">
        <v>33</v>
      </c>
      <c r="AC31" s="7"/>
      <c r="AD31" s="7" t="s">
        <v>36</v>
      </c>
      <c r="AE31" s="7" t="s">
        <v>37</v>
      </c>
      <c r="AF31" s="7" t="s">
        <v>34</v>
      </c>
      <c r="AG31">
        <f>(32*3)+(16*1)+(8*2)+(4*2)+(2*21)</f>
        <v>178</v>
      </c>
      <c r="AM31" s="2">
        <v>26</v>
      </c>
      <c r="AN31" s="2" t="s">
        <v>27</v>
      </c>
      <c r="AO31" s="51">
        <v>1</v>
      </c>
      <c r="AP31" s="51"/>
      <c r="AR31" s="7" t="s">
        <v>62</v>
      </c>
      <c r="AS31" s="6" t="s">
        <v>31</v>
      </c>
      <c r="AT31" s="7">
        <v>43</v>
      </c>
      <c r="AU31" s="7">
        <v>9</v>
      </c>
      <c r="AV31" s="32">
        <f t="shared" si="9"/>
        <v>4.7777777777777777</v>
      </c>
      <c r="AW31" s="17">
        <v>5</v>
      </c>
      <c r="AY31" s="41" t="s">
        <v>58</v>
      </c>
      <c r="AZ31" s="38" t="s">
        <v>27</v>
      </c>
      <c r="BA31" s="45">
        <f>(340/15)+(200/15)</f>
        <v>36</v>
      </c>
      <c r="BB31" s="50">
        <f>(210/15)+(100/15)</f>
        <v>20.666666666666668</v>
      </c>
      <c r="BC31" s="38">
        <v>1</v>
      </c>
      <c r="BD31" s="45">
        <f t="shared" si="1"/>
        <v>36</v>
      </c>
      <c r="BE31" s="45">
        <f t="shared" si="2"/>
        <v>20.666666666666668</v>
      </c>
      <c r="BF31" s="10"/>
      <c r="BG31" s="10"/>
      <c r="BH31" s="41" t="s">
        <v>59</v>
      </c>
      <c r="BI31" s="38" t="s">
        <v>28</v>
      </c>
      <c r="BJ31" s="45">
        <f>(340/15)+(170/15)</f>
        <v>34</v>
      </c>
      <c r="BK31" s="45">
        <f>(1/2)+(90/15)</f>
        <v>6.5</v>
      </c>
      <c r="BL31" s="10">
        <v>2</v>
      </c>
      <c r="BM31" s="49">
        <f t="shared" si="3"/>
        <v>68</v>
      </c>
      <c r="BN31" s="49">
        <f t="shared" si="4"/>
        <v>13</v>
      </c>
    </row>
    <row r="32" spans="1:66" ht="19" customHeight="1" x14ac:dyDescent="0.35">
      <c r="A32" s="4" t="s">
        <v>60</v>
      </c>
      <c r="B32" s="6" t="s">
        <v>29</v>
      </c>
      <c r="C32" s="7" t="s">
        <v>36</v>
      </c>
      <c r="D32" s="7" t="s">
        <v>36</v>
      </c>
      <c r="E32" s="7" t="s">
        <v>36</v>
      </c>
      <c r="F32" s="7" t="s">
        <v>36</v>
      </c>
      <c r="G32" s="7" t="s">
        <v>36</v>
      </c>
      <c r="H32" s="7" t="s">
        <v>36</v>
      </c>
      <c r="I32" s="7" t="s">
        <v>36</v>
      </c>
      <c r="J32" s="7" t="s">
        <v>36</v>
      </c>
      <c r="K32" s="7" t="s">
        <v>36</v>
      </c>
      <c r="L32" s="7" t="s">
        <v>36</v>
      </c>
      <c r="M32" s="7" t="s">
        <v>36</v>
      </c>
      <c r="N32" s="7" t="s">
        <v>36</v>
      </c>
      <c r="O32" s="7" t="s">
        <v>36</v>
      </c>
      <c r="P32" s="7" t="s">
        <v>36</v>
      </c>
      <c r="Q32" s="7" t="s">
        <v>36</v>
      </c>
      <c r="R32" s="7" t="s">
        <v>36</v>
      </c>
      <c r="S32" s="7" t="s">
        <v>36</v>
      </c>
      <c r="T32" s="7" t="s">
        <v>36</v>
      </c>
      <c r="U32" s="7" t="s">
        <v>36</v>
      </c>
      <c r="V32" s="7" t="s">
        <v>36</v>
      </c>
      <c r="W32" s="7" t="s">
        <v>36</v>
      </c>
      <c r="X32" s="7" t="s">
        <v>36</v>
      </c>
      <c r="Y32" s="7" t="s">
        <v>34</v>
      </c>
      <c r="Z32" s="7" t="s">
        <v>33</v>
      </c>
      <c r="AA32" s="7" t="s">
        <v>33</v>
      </c>
      <c r="AB32" s="7" t="s">
        <v>34</v>
      </c>
      <c r="AC32" s="7" t="s">
        <v>36</v>
      </c>
      <c r="AD32" s="7"/>
      <c r="AE32" s="7" t="s">
        <v>37</v>
      </c>
      <c r="AF32" s="7" t="s">
        <v>34</v>
      </c>
      <c r="AG32">
        <f>(32*2)+(16*1)+(8*3)+(2*23)</f>
        <v>150</v>
      </c>
      <c r="AM32" s="2">
        <v>27</v>
      </c>
      <c r="AN32" s="2" t="s">
        <v>28</v>
      </c>
      <c r="AO32" s="51">
        <v>2</v>
      </c>
      <c r="AP32" s="51"/>
      <c r="AR32" s="58" t="s">
        <v>75</v>
      </c>
      <c r="AS32" s="58"/>
      <c r="AT32" s="33">
        <f>SUM(AT25:AT31)/7</f>
        <v>50.428571428571431</v>
      </c>
      <c r="AU32" s="33">
        <f t="shared" ref="AU32:AW32" si="10">SUM(AU25:AU31)/7</f>
        <v>9.8571428571428577</v>
      </c>
      <c r="AV32" s="33">
        <f t="shared" si="10"/>
        <v>4.8851294903926483</v>
      </c>
      <c r="AW32" s="33">
        <f t="shared" si="10"/>
        <v>5</v>
      </c>
      <c r="AY32" s="41" t="s">
        <v>59</v>
      </c>
      <c r="AZ32" s="38" t="s">
        <v>28</v>
      </c>
      <c r="BA32" s="45">
        <f>(340/15)+(170/15)</f>
        <v>34</v>
      </c>
      <c r="BB32" s="50">
        <f>(110/15)+(80/15)</f>
        <v>12.666666666666666</v>
      </c>
      <c r="BC32" s="38">
        <v>2</v>
      </c>
      <c r="BD32" s="45">
        <f t="shared" si="1"/>
        <v>68</v>
      </c>
      <c r="BE32" s="45">
        <f t="shared" si="2"/>
        <v>25.333333333333332</v>
      </c>
      <c r="BF32" s="10"/>
      <c r="BG32" s="10"/>
      <c r="BH32" s="41" t="s">
        <v>60</v>
      </c>
      <c r="BI32" s="38" t="s">
        <v>29</v>
      </c>
      <c r="BJ32" s="45">
        <f t="shared" ref="BJ32" si="11">(340/15)+(140/15)</f>
        <v>32</v>
      </c>
      <c r="BK32" s="45">
        <f>(1/2)+(100/15)</f>
        <v>7.166666666666667</v>
      </c>
      <c r="BL32" s="10">
        <v>2</v>
      </c>
      <c r="BM32" s="49">
        <f t="shared" si="3"/>
        <v>64</v>
      </c>
      <c r="BN32" s="49">
        <f t="shared" si="4"/>
        <v>14.333333333333334</v>
      </c>
    </row>
    <row r="33" spans="1:66" ht="19" customHeight="1" x14ac:dyDescent="0.35">
      <c r="A33" s="4" t="s">
        <v>61</v>
      </c>
      <c r="B33" s="6" t="s">
        <v>30</v>
      </c>
      <c r="C33" s="7" t="s">
        <v>36</v>
      </c>
      <c r="D33" s="7" t="s">
        <v>36</v>
      </c>
      <c r="E33" s="7" t="s">
        <v>36</v>
      </c>
      <c r="F33" s="7" t="s">
        <v>36</v>
      </c>
      <c r="G33" s="7" t="s">
        <v>36</v>
      </c>
      <c r="H33" s="7" t="s">
        <v>36</v>
      </c>
      <c r="I33" s="7" t="s">
        <v>36</v>
      </c>
      <c r="J33" s="7" t="s">
        <v>36</v>
      </c>
      <c r="K33" s="7" t="s">
        <v>36</v>
      </c>
      <c r="L33" s="7" t="s">
        <v>36</v>
      </c>
      <c r="M33" s="7" t="s">
        <v>36</v>
      </c>
      <c r="N33" s="7" t="s">
        <v>36</v>
      </c>
      <c r="O33" s="7" t="s">
        <v>36</v>
      </c>
      <c r="P33" s="7" t="s">
        <v>36</v>
      </c>
      <c r="Q33" s="7" t="s">
        <v>36</v>
      </c>
      <c r="R33" s="7" t="s">
        <v>36</v>
      </c>
      <c r="S33" s="7" t="s">
        <v>36</v>
      </c>
      <c r="T33" s="7" t="s">
        <v>36</v>
      </c>
      <c r="U33" s="7" t="s">
        <v>36</v>
      </c>
      <c r="V33" s="7" t="s">
        <v>36</v>
      </c>
      <c r="W33" s="7" t="s">
        <v>36</v>
      </c>
      <c r="X33" s="7" t="s">
        <v>36</v>
      </c>
      <c r="Y33" s="7" t="s">
        <v>36</v>
      </c>
      <c r="Z33" s="7" t="s">
        <v>34</v>
      </c>
      <c r="AA33" s="7" t="s">
        <v>35</v>
      </c>
      <c r="AB33" s="7" t="s">
        <v>33</v>
      </c>
      <c r="AC33" s="7" t="s">
        <v>37</v>
      </c>
      <c r="AD33" s="7" t="s">
        <v>37</v>
      </c>
      <c r="AE33" s="7"/>
      <c r="AF33" s="7" t="s">
        <v>37</v>
      </c>
      <c r="AG33">
        <f>(32*1)+(16*3)+(8*1)+(4*1)+(2*23)</f>
        <v>138</v>
      </c>
      <c r="AM33" s="2">
        <v>28</v>
      </c>
      <c r="AN33" s="2" t="s">
        <v>29</v>
      </c>
      <c r="AO33" s="51">
        <v>3</v>
      </c>
      <c r="AP33" s="51"/>
      <c r="AY33" s="41" t="s">
        <v>60</v>
      </c>
      <c r="AZ33" s="38" t="s">
        <v>29</v>
      </c>
      <c r="BA33" s="45">
        <f t="shared" ref="BA33" si="12">(340/15)+(140/15)</f>
        <v>32</v>
      </c>
      <c r="BB33" s="50">
        <f>(110/15)+(90/15)</f>
        <v>13.333333333333332</v>
      </c>
      <c r="BC33" s="38">
        <v>2</v>
      </c>
      <c r="BD33" s="45">
        <f t="shared" si="1"/>
        <v>64</v>
      </c>
      <c r="BE33" s="45">
        <f t="shared" si="2"/>
        <v>26.666666666666664</v>
      </c>
      <c r="BF33" s="10"/>
      <c r="BG33" s="10"/>
      <c r="BH33" s="41" t="s">
        <v>61</v>
      </c>
      <c r="BI33" s="38" t="s">
        <v>30</v>
      </c>
      <c r="BJ33" s="45">
        <f>(340/15)+(190/15)</f>
        <v>35.333333333333336</v>
      </c>
      <c r="BK33" s="45">
        <f>(1/2)+(110/15)</f>
        <v>7.833333333333333</v>
      </c>
      <c r="BL33" s="10">
        <v>2</v>
      </c>
      <c r="BM33" s="49">
        <f t="shared" si="3"/>
        <v>70.666666666666671</v>
      </c>
      <c r="BN33" s="49">
        <f t="shared" si="4"/>
        <v>15.666666666666666</v>
      </c>
    </row>
    <row r="34" spans="1:66" ht="19" customHeight="1" x14ac:dyDescent="0.35">
      <c r="A34" s="4" t="s">
        <v>62</v>
      </c>
      <c r="B34" s="6" t="s">
        <v>31</v>
      </c>
      <c r="C34" s="7" t="s">
        <v>36</v>
      </c>
      <c r="D34" s="7" t="s">
        <v>36</v>
      </c>
      <c r="E34" s="7" t="s">
        <v>36</v>
      </c>
      <c r="F34" s="7" t="s">
        <v>36</v>
      </c>
      <c r="G34" s="7" t="s">
        <v>36</v>
      </c>
      <c r="H34" s="7" t="s">
        <v>36</v>
      </c>
      <c r="I34" s="7" t="s">
        <v>36</v>
      </c>
      <c r="J34" s="7" t="s">
        <v>36</v>
      </c>
      <c r="K34" s="7" t="s">
        <v>36</v>
      </c>
      <c r="L34" s="7" t="s">
        <v>36</v>
      </c>
      <c r="M34" s="7" t="s">
        <v>36</v>
      </c>
      <c r="N34" s="7" t="s">
        <v>36</v>
      </c>
      <c r="O34" s="7" t="s">
        <v>36</v>
      </c>
      <c r="P34" s="7" t="s">
        <v>36</v>
      </c>
      <c r="Q34" s="7" t="s">
        <v>36</v>
      </c>
      <c r="R34" s="7" t="s">
        <v>36</v>
      </c>
      <c r="S34" s="7" t="s">
        <v>36</v>
      </c>
      <c r="T34" s="7" t="s">
        <v>36</v>
      </c>
      <c r="U34" s="7" t="s">
        <v>36</v>
      </c>
      <c r="V34" s="7" t="s">
        <v>36</v>
      </c>
      <c r="W34" s="7" t="s">
        <v>36</v>
      </c>
      <c r="X34" s="7" t="s">
        <v>36</v>
      </c>
      <c r="Y34" s="7" t="s">
        <v>36</v>
      </c>
      <c r="Z34" s="7" t="s">
        <v>33</v>
      </c>
      <c r="AA34" s="7" t="s">
        <v>34</v>
      </c>
      <c r="AB34" s="7" t="s">
        <v>35</v>
      </c>
      <c r="AC34" s="7" t="s">
        <v>34</v>
      </c>
      <c r="AD34" s="7" t="s">
        <v>34</v>
      </c>
      <c r="AE34" s="7" t="s">
        <v>37</v>
      </c>
      <c r="AF34" s="7"/>
      <c r="AG34">
        <f>(32*1)+(16*1)+(8*3)+(4*1)+(2*24)</f>
        <v>124</v>
      </c>
      <c r="AM34" s="2">
        <v>29</v>
      </c>
      <c r="AN34" s="2" t="s">
        <v>30</v>
      </c>
      <c r="AO34" s="51">
        <v>2</v>
      </c>
      <c r="AP34" s="51"/>
      <c r="AR34" s="7" t="s">
        <v>41</v>
      </c>
      <c r="AS34" s="25" t="s">
        <v>5</v>
      </c>
      <c r="AT34" s="12">
        <v>33</v>
      </c>
      <c r="AU34" s="12">
        <v>9</v>
      </c>
      <c r="AV34" s="32">
        <f t="shared" ref="AV34:AV40" si="13">AT34/AU34</f>
        <v>3.6666666666666665</v>
      </c>
      <c r="AW34" s="17">
        <v>4</v>
      </c>
      <c r="AY34" s="41" t="s">
        <v>61</v>
      </c>
      <c r="AZ34" s="38" t="s">
        <v>30</v>
      </c>
      <c r="BA34" s="45">
        <f>(340/15)+(190/15)</f>
        <v>35.333333333333336</v>
      </c>
      <c r="BB34" s="50">
        <f>(110/15)+(100/15)</f>
        <v>14</v>
      </c>
      <c r="BC34" s="38">
        <v>2</v>
      </c>
      <c r="BD34" s="45">
        <f t="shared" si="1"/>
        <v>70.666666666666671</v>
      </c>
      <c r="BE34" s="45">
        <f t="shared" si="2"/>
        <v>28</v>
      </c>
      <c r="BF34" s="10"/>
      <c r="BG34" s="10"/>
      <c r="BH34" s="41" t="s">
        <v>62</v>
      </c>
      <c r="BI34" s="38" t="s">
        <v>31</v>
      </c>
      <c r="BJ34" s="45">
        <f>(340/15)+(160/15)</f>
        <v>33.333333333333336</v>
      </c>
      <c r="BK34" s="45">
        <f>(1/2)+(80/15)</f>
        <v>5.833333333333333</v>
      </c>
      <c r="BL34" s="10">
        <v>2</v>
      </c>
      <c r="BM34" s="49">
        <f t="shared" si="3"/>
        <v>66.666666666666671</v>
      </c>
      <c r="BN34" s="49">
        <f t="shared" si="4"/>
        <v>11.666666666666666</v>
      </c>
    </row>
    <row r="35" spans="1:66" ht="39.5" thickBot="1" x14ac:dyDescent="0.4">
      <c r="AM35" s="2">
        <v>30</v>
      </c>
      <c r="AN35" s="2" t="s">
        <v>31</v>
      </c>
      <c r="AO35" s="51">
        <v>1</v>
      </c>
      <c r="AP35" s="51"/>
      <c r="AR35" s="7" t="s">
        <v>37</v>
      </c>
      <c r="AS35" s="25" t="s">
        <v>6</v>
      </c>
      <c r="AT35" s="12">
        <v>22</v>
      </c>
      <c r="AU35" s="12">
        <v>6</v>
      </c>
      <c r="AV35" s="32">
        <f t="shared" si="13"/>
        <v>3.6666666666666665</v>
      </c>
      <c r="AW35" s="17">
        <v>4</v>
      </c>
      <c r="AY35" s="43" t="s">
        <v>62</v>
      </c>
      <c r="AZ35" s="44" t="s">
        <v>31</v>
      </c>
      <c r="BA35" s="45">
        <f>(340/15)+(160/15)</f>
        <v>33.333333333333336</v>
      </c>
      <c r="BB35" s="50">
        <f>(110/15)+(60/15)</f>
        <v>11.333333333333332</v>
      </c>
      <c r="BC35" s="44">
        <v>2</v>
      </c>
      <c r="BD35" s="45">
        <f t="shared" si="1"/>
        <v>66.666666666666671</v>
      </c>
      <c r="BE35" s="45">
        <f t="shared" si="2"/>
        <v>22.666666666666664</v>
      </c>
      <c r="BF35" s="10"/>
      <c r="BG35" s="10"/>
      <c r="BH35" s="41" t="s">
        <v>35</v>
      </c>
      <c r="BI35" s="48" t="s">
        <v>16</v>
      </c>
      <c r="BJ35" s="45">
        <f>(190/15)+(150/15)</f>
        <v>22.666666666666664</v>
      </c>
      <c r="BK35" s="45">
        <f>(310/15)+(100/15)</f>
        <v>27.333333333333336</v>
      </c>
      <c r="BL35" s="10">
        <v>3</v>
      </c>
      <c r="BM35" s="49">
        <f t="shared" si="3"/>
        <v>68</v>
      </c>
      <c r="BN35" s="49">
        <f t="shared" si="4"/>
        <v>82</v>
      </c>
    </row>
    <row r="36" spans="1:66" ht="15.5" x14ac:dyDescent="0.35">
      <c r="AR36" s="7" t="s">
        <v>42</v>
      </c>
      <c r="AS36" s="25" t="s">
        <v>7</v>
      </c>
      <c r="AT36" s="12">
        <v>48</v>
      </c>
      <c r="AU36" s="12">
        <v>8</v>
      </c>
      <c r="AV36" s="32">
        <f t="shared" si="13"/>
        <v>6</v>
      </c>
      <c r="AW36" s="17">
        <v>6</v>
      </c>
      <c r="AY36" s="54"/>
      <c r="AZ36" s="54"/>
      <c r="BA36" s="46">
        <f>SUM(BA6:BA35)</f>
        <v>540.50000000000011</v>
      </c>
      <c r="BB36" s="46">
        <f t="shared" ref="BB36:BE36" si="14">SUM(BB6:BB35)</f>
        <v>438.49999999999994</v>
      </c>
      <c r="BC36">
        <f t="shared" si="14"/>
        <v>50</v>
      </c>
      <c r="BD36" s="46">
        <f t="shared" si="14"/>
        <v>857.16666666666652</v>
      </c>
      <c r="BE36" s="46">
        <f t="shared" si="14"/>
        <v>708.5</v>
      </c>
      <c r="BH36" s="55"/>
      <c r="BI36" s="55"/>
      <c r="BJ36" s="46">
        <f>SUM(BJ6:BJ35)</f>
        <v>540.5</v>
      </c>
      <c r="BK36" s="46">
        <f t="shared" ref="BK36:BN36" si="15">SUM(BK6:BK35)</f>
        <v>438.5</v>
      </c>
      <c r="BL36" s="46">
        <f t="shared" si="15"/>
        <v>50</v>
      </c>
      <c r="BM36" s="46">
        <f t="shared" si="15"/>
        <v>857.16666666666663</v>
      </c>
      <c r="BN36" s="46">
        <f t="shared" si="15"/>
        <v>806.33333333333326</v>
      </c>
    </row>
    <row r="37" spans="1:66" ht="15.5" x14ac:dyDescent="0.35">
      <c r="A37" s="14"/>
      <c r="B37" s="7"/>
      <c r="C37" s="7"/>
      <c r="D37" s="7"/>
      <c r="E37" s="7"/>
      <c r="F37" s="7"/>
      <c r="G37" s="7"/>
      <c r="H37" s="52" t="s">
        <v>68</v>
      </c>
      <c r="I37" s="52"/>
      <c r="J37" s="52"/>
      <c r="K37" s="53" t="s">
        <v>69</v>
      </c>
      <c r="L37" s="52" t="s">
        <v>68</v>
      </c>
      <c r="M37" s="52"/>
      <c r="N37" s="52"/>
      <c r="O37" s="53" t="s">
        <v>73</v>
      </c>
      <c r="AR37" s="7" t="s">
        <v>43</v>
      </c>
      <c r="AS37" s="25" t="s">
        <v>8</v>
      </c>
      <c r="AT37" s="12">
        <v>48</v>
      </c>
      <c r="AU37" s="12">
        <v>9</v>
      </c>
      <c r="AV37" s="32">
        <f t="shared" si="13"/>
        <v>5.333333333333333</v>
      </c>
      <c r="AW37" s="17">
        <v>5</v>
      </c>
    </row>
    <row r="38" spans="1:66" ht="65" x14ac:dyDescent="0.35">
      <c r="A38" s="14"/>
      <c r="B38" s="7"/>
      <c r="C38" s="12" t="s">
        <v>63</v>
      </c>
      <c r="D38" s="12" t="s">
        <v>64</v>
      </c>
      <c r="E38" s="12" t="s">
        <v>65</v>
      </c>
      <c r="F38" s="12" t="s">
        <v>66</v>
      </c>
      <c r="G38" s="12" t="s">
        <v>67</v>
      </c>
      <c r="H38" s="13" t="s">
        <v>70</v>
      </c>
      <c r="I38" s="13" t="s">
        <v>71</v>
      </c>
      <c r="J38" s="13" t="s">
        <v>72</v>
      </c>
      <c r="K38" s="53"/>
      <c r="L38" s="13" t="s">
        <v>70</v>
      </c>
      <c r="M38" s="13" t="s">
        <v>71</v>
      </c>
      <c r="N38" s="13" t="s">
        <v>72</v>
      </c>
      <c r="O38" s="53"/>
      <c r="AR38" s="7" t="s">
        <v>44</v>
      </c>
      <c r="AS38" s="25" t="s">
        <v>9</v>
      </c>
      <c r="AT38" s="12">
        <v>31</v>
      </c>
      <c r="AU38" s="12">
        <v>6</v>
      </c>
      <c r="AV38" s="32">
        <f t="shared" si="13"/>
        <v>5.166666666666667</v>
      </c>
      <c r="AW38" s="17">
        <v>5</v>
      </c>
    </row>
    <row r="39" spans="1:66" ht="15.5" x14ac:dyDescent="0.35">
      <c r="A39" s="61" t="s">
        <v>33</v>
      </c>
      <c r="B39" s="25" t="s">
        <v>2</v>
      </c>
      <c r="C39" s="64">
        <v>9</v>
      </c>
      <c r="D39" s="64">
        <v>3</v>
      </c>
      <c r="E39" s="64">
        <v>65</v>
      </c>
      <c r="F39" s="64">
        <v>10</v>
      </c>
      <c r="G39" s="64">
        <v>10</v>
      </c>
      <c r="H39" s="13">
        <v>36</v>
      </c>
      <c r="I39" s="13">
        <v>40</v>
      </c>
      <c r="J39" s="13">
        <v>29</v>
      </c>
      <c r="K39" s="31">
        <f>AVERAGE(H39:J39)</f>
        <v>35</v>
      </c>
      <c r="L39" s="13">
        <v>25</v>
      </c>
      <c r="M39" s="13">
        <v>23</v>
      </c>
      <c r="N39" s="13">
        <v>29</v>
      </c>
      <c r="O39" s="31">
        <f>AVERAGE(L39:N39)</f>
        <v>25.666666666666668</v>
      </c>
      <c r="AR39" s="7" t="s">
        <v>34</v>
      </c>
      <c r="AS39" s="25" t="s">
        <v>10</v>
      </c>
      <c r="AT39" s="12">
        <v>28</v>
      </c>
      <c r="AU39" s="12">
        <v>7</v>
      </c>
      <c r="AV39" s="32">
        <f t="shared" si="13"/>
        <v>4</v>
      </c>
      <c r="AW39" s="17">
        <v>4</v>
      </c>
    </row>
    <row r="40" spans="1:66" ht="26" x14ac:dyDescent="0.35">
      <c r="A40" s="61" t="s">
        <v>39</v>
      </c>
      <c r="B40" s="25" t="s">
        <v>3</v>
      </c>
      <c r="C40" s="64">
        <v>8</v>
      </c>
      <c r="D40" s="64">
        <v>3</v>
      </c>
      <c r="E40" s="64">
        <v>45</v>
      </c>
      <c r="F40" s="64">
        <v>5</v>
      </c>
      <c r="G40" s="64">
        <v>5</v>
      </c>
      <c r="H40" s="13">
        <v>22</v>
      </c>
      <c r="I40" s="13">
        <v>33</v>
      </c>
      <c r="J40" s="13">
        <v>22</v>
      </c>
      <c r="K40" s="31">
        <f t="shared" ref="K40:N69" si="16">AVERAGE(H40:J40)</f>
        <v>25.666666666666668</v>
      </c>
      <c r="L40" s="13">
        <v>37</v>
      </c>
      <c r="M40" s="13">
        <v>21</v>
      </c>
      <c r="N40" s="13">
        <v>27</v>
      </c>
      <c r="O40" s="31">
        <f t="shared" ref="O40:O69" si="17">AVERAGE(L40:N40)</f>
        <v>28.333333333333332</v>
      </c>
      <c r="AR40" s="7" t="s">
        <v>46</v>
      </c>
      <c r="AS40" s="25" t="s">
        <v>12</v>
      </c>
      <c r="AT40" s="12">
        <v>41</v>
      </c>
      <c r="AU40" s="12">
        <v>8</v>
      </c>
      <c r="AV40" s="32">
        <f t="shared" si="13"/>
        <v>5.125</v>
      </c>
      <c r="AW40" s="17">
        <v>5</v>
      </c>
    </row>
    <row r="41" spans="1:66" x14ac:dyDescent="0.35">
      <c r="A41" s="61" t="s">
        <v>40</v>
      </c>
      <c r="B41" s="25" t="s">
        <v>4</v>
      </c>
      <c r="C41" s="64">
        <v>6</v>
      </c>
      <c r="D41" s="64">
        <v>2</v>
      </c>
      <c r="E41" s="64">
        <v>32</v>
      </c>
      <c r="F41" s="64">
        <v>10</v>
      </c>
      <c r="G41" s="64">
        <v>2</v>
      </c>
      <c r="H41" s="13">
        <v>28</v>
      </c>
      <c r="I41" s="13">
        <v>24</v>
      </c>
      <c r="J41" s="13">
        <v>22</v>
      </c>
      <c r="K41" s="31">
        <f t="shared" si="16"/>
        <v>24.666666666666668</v>
      </c>
      <c r="L41" s="13">
        <v>25</v>
      </c>
      <c r="M41" s="13">
        <v>22</v>
      </c>
      <c r="N41" s="13">
        <v>26</v>
      </c>
      <c r="O41" s="31">
        <f t="shared" si="17"/>
        <v>24.333333333333332</v>
      </c>
      <c r="AR41" s="59" t="s">
        <v>75</v>
      </c>
      <c r="AS41" s="59"/>
      <c r="AT41" s="34">
        <f>SUM(AT34:AT40)/7</f>
        <v>35.857142857142854</v>
      </c>
      <c r="AU41" s="34">
        <f t="shared" ref="AU41:AW41" si="18">SUM(AU34:AU40)/7</f>
        <v>7.5714285714285712</v>
      </c>
      <c r="AV41" s="34">
        <f t="shared" si="18"/>
        <v>4.708333333333333</v>
      </c>
      <c r="AW41" s="34">
        <f t="shared" si="18"/>
        <v>4.7142857142857144</v>
      </c>
    </row>
    <row r="42" spans="1:66" x14ac:dyDescent="0.35">
      <c r="A42" s="61" t="s">
        <v>41</v>
      </c>
      <c r="B42" s="25" t="s">
        <v>5</v>
      </c>
      <c r="C42" s="64">
        <v>9</v>
      </c>
      <c r="D42" s="64">
        <v>3</v>
      </c>
      <c r="E42" s="64">
        <v>23</v>
      </c>
      <c r="F42" s="64">
        <v>14</v>
      </c>
      <c r="G42" s="64">
        <v>10</v>
      </c>
      <c r="H42" s="13">
        <v>25</v>
      </c>
      <c r="I42" s="13">
        <v>28</v>
      </c>
      <c r="J42" s="13">
        <v>40</v>
      </c>
      <c r="K42" s="31">
        <f t="shared" si="16"/>
        <v>31</v>
      </c>
      <c r="L42" s="13">
        <v>27</v>
      </c>
      <c r="M42" s="13">
        <v>32</v>
      </c>
      <c r="N42" s="13">
        <v>28</v>
      </c>
      <c r="O42" s="31">
        <f t="shared" si="17"/>
        <v>29</v>
      </c>
    </row>
    <row r="43" spans="1:66" x14ac:dyDescent="0.35">
      <c r="A43" s="61" t="s">
        <v>37</v>
      </c>
      <c r="B43" s="25" t="s">
        <v>6</v>
      </c>
      <c r="C43" s="64">
        <v>6</v>
      </c>
      <c r="D43" s="64">
        <v>2</v>
      </c>
      <c r="E43" s="64">
        <v>50</v>
      </c>
      <c r="F43" s="64">
        <v>7</v>
      </c>
      <c r="G43" s="64">
        <v>7</v>
      </c>
      <c r="H43" s="13">
        <v>26</v>
      </c>
      <c r="I43" s="13">
        <v>32</v>
      </c>
      <c r="J43" s="13">
        <v>25</v>
      </c>
      <c r="K43" s="31">
        <f t="shared" si="16"/>
        <v>27.666666666666668</v>
      </c>
      <c r="L43" s="13">
        <v>28</v>
      </c>
      <c r="M43" s="13">
        <v>25</v>
      </c>
      <c r="N43" s="13">
        <v>26</v>
      </c>
      <c r="O43" s="31">
        <f t="shared" si="17"/>
        <v>26.333333333333332</v>
      </c>
    </row>
    <row r="44" spans="1:66" x14ac:dyDescent="0.35">
      <c r="A44" s="61" t="s">
        <v>42</v>
      </c>
      <c r="B44" s="25" t="s">
        <v>7</v>
      </c>
      <c r="C44" s="64">
        <v>8</v>
      </c>
      <c r="D44" s="64">
        <v>3</v>
      </c>
      <c r="E44" s="64">
        <v>52</v>
      </c>
      <c r="F44" s="64">
        <v>9</v>
      </c>
      <c r="G44" s="64">
        <v>9</v>
      </c>
      <c r="H44" s="13">
        <v>28</v>
      </c>
      <c r="I44" s="13">
        <v>20</v>
      </c>
      <c r="J44" s="13">
        <v>35</v>
      </c>
      <c r="K44" s="31">
        <f t="shared" si="16"/>
        <v>27.666666666666668</v>
      </c>
      <c r="L44" s="13">
        <v>39</v>
      </c>
      <c r="M44" s="13">
        <v>26</v>
      </c>
      <c r="N44" s="13">
        <v>32</v>
      </c>
      <c r="O44" s="31">
        <f t="shared" si="17"/>
        <v>32.333333333333336</v>
      </c>
    </row>
    <row r="45" spans="1:66" x14ac:dyDescent="0.35">
      <c r="A45" s="61" t="s">
        <v>43</v>
      </c>
      <c r="B45" s="25" t="s">
        <v>8</v>
      </c>
      <c r="C45" s="64">
        <v>9</v>
      </c>
      <c r="D45" s="64">
        <v>3</v>
      </c>
      <c r="E45" s="64">
        <v>48</v>
      </c>
      <c r="F45" s="64">
        <v>10</v>
      </c>
      <c r="G45" s="64">
        <v>4</v>
      </c>
      <c r="H45" s="13">
        <v>24</v>
      </c>
      <c r="I45" s="13">
        <v>35</v>
      </c>
      <c r="J45" s="13">
        <v>40</v>
      </c>
      <c r="K45" s="31">
        <f t="shared" si="16"/>
        <v>33</v>
      </c>
      <c r="L45" s="13">
        <v>21</v>
      </c>
      <c r="M45" s="13">
        <v>38</v>
      </c>
      <c r="N45" s="13">
        <v>36</v>
      </c>
      <c r="O45" s="31">
        <f t="shared" si="17"/>
        <v>31.666666666666668</v>
      </c>
    </row>
    <row r="46" spans="1:66" x14ac:dyDescent="0.35">
      <c r="A46" s="61" t="s">
        <v>44</v>
      </c>
      <c r="B46" s="25" t="s">
        <v>9</v>
      </c>
      <c r="C46" s="64">
        <v>6</v>
      </c>
      <c r="D46" s="64">
        <v>2</v>
      </c>
      <c r="E46" s="64">
        <v>35</v>
      </c>
      <c r="F46" s="64">
        <v>10</v>
      </c>
      <c r="G46" s="64">
        <v>20</v>
      </c>
      <c r="H46" s="13">
        <v>26</v>
      </c>
      <c r="I46" s="13">
        <v>28</v>
      </c>
      <c r="J46" s="13">
        <v>30</v>
      </c>
      <c r="K46" s="31">
        <f t="shared" si="16"/>
        <v>28</v>
      </c>
      <c r="L46" s="13">
        <v>29</v>
      </c>
      <c r="M46" s="13">
        <v>25</v>
      </c>
      <c r="N46" s="13">
        <v>29</v>
      </c>
      <c r="O46" s="31">
        <f t="shared" si="17"/>
        <v>27.666666666666668</v>
      </c>
    </row>
    <row r="47" spans="1:66" x14ac:dyDescent="0.35">
      <c r="A47" s="61" t="s">
        <v>34</v>
      </c>
      <c r="B47" s="25" t="s">
        <v>10</v>
      </c>
      <c r="C47" s="64">
        <v>7</v>
      </c>
      <c r="D47" s="64">
        <v>3</v>
      </c>
      <c r="E47" s="64">
        <v>75</v>
      </c>
      <c r="F47" s="64">
        <v>5</v>
      </c>
      <c r="G47" s="64">
        <v>5</v>
      </c>
      <c r="H47" s="13">
        <v>31</v>
      </c>
      <c r="I47" s="13">
        <v>23</v>
      </c>
      <c r="J47" s="13">
        <v>20</v>
      </c>
      <c r="K47" s="31">
        <f t="shared" si="16"/>
        <v>24.666666666666668</v>
      </c>
      <c r="L47" s="13">
        <v>29</v>
      </c>
      <c r="M47" s="13">
        <v>32</v>
      </c>
      <c r="N47" s="13">
        <v>34</v>
      </c>
      <c r="O47" s="31">
        <f t="shared" si="17"/>
        <v>31.666666666666668</v>
      </c>
    </row>
    <row r="48" spans="1:66" x14ac:dyDescent="0.35">
      <c r="A48" s="61" t="s">
        <v>45</v>
      </c>
      <c r="B48" s="25" t="s">
        <v>11</v>
      </c>
      <c r="C48" s="64">
        <v>15</v>
      </c>
      <c r="D48" s="64">
        <v>5</v>
      </c>
      <c r="E48" s="64">
        <v>120</v>
      </c>
      <c r="F48" s="64">
        <v>35</v>
      </c>
      <c r="G48" s="64">
        <v>20</v>
      </c>
      <c r="H48" s="13">
        <v>31</v>
      </c>
      <c r="I48" s="13">
        <v>30</v>
      </c>
      <c r="J48" s="13">
        <v>34</v>
      </c>
      <c r="K48" s="31">
        <f t="shared" si="16"/>
        <v>31.666666666666668</v>
      </c>
      <c r="L48" s="13">
        <v>25</v>
      </c>
      <c r="M48" s="13">
        <v>33</v>
      </c>
      <c r="N48" s="13">
        <v>26</v>
      </c>
      <c r="O48" s="31">
        <f t="shared" si="17"/>
        <v>28</v>
      </c>
    </row>
    <row r="49" spans="1:15" x14ac:dyDescent="0.35">
      <c r="A49" s="61" t="s">
        <v>46</v>
      </c>
      <c r="B49" s="25" t="s">
        <v>12</v>
      </c>
      <c r="C49" s="64">
        <v>8</v>
      </c>
      <c r="D49" s="64">
        <v>3</v>
      </c>
      <c r="E49" s="64">
        <v>25</v>
      </c>
      <c r="F49" s="64">
        <v>5</v>
      </c>
      <c r="G49" s="64">
        <v>3</v>
      </c>
      <c r="H49" s="13">
        <v>24</v>
      </c>
      <c r="I49" s="13">
        <v>28</v>
      </c>
      <c r="J49" s="13">
        <v>24</v>
      </c>
      <c r="K49" s="31">
        <f t="shared" si="16"/>
        <v>25.333333333333332</v>
      </c>
      <c r="L49" s="13">
        <v>20</v>
      </c>
      <c r="M49" s="13">
        <v>35</v>
      </c>
      <c r="N49" s="13">
        <v>35</v>
      </c>
      <c r="O49" s="31">
        <f t="shared" si="17"/>
        <v>30</v>
      </c>
    </row>
    <row r="50" spans="1:15" x14ac:dyDescent="0.35">
      <c r="A50" s="61" t="s">
        <v>47</v>
      </c>
      <c r="B50" s="25" t="s">
        <v>13</v>
      </c>
      <c r="C50" s="64">
        <v>9</v>
      </c>
      <c r="D50" s="64">
        <v>3</v>
      </c>
      <c r="E50" s="64">
        <v>65</v>
      </c>
      <c r="F50" s="64">
        <v>25</v>
      </c>
      <c r="G50" s="64">
        <v>10</v>
      </c>
      <c r="H50" s="13">
        <v>23</v>
      </c>
      <c r="I50" s="13">
        <v>35</v>
      </c>
      <c r="J50" s="13">
        <v>30</v>
      </c>
      <c r="K50" s="31">
        <f t="shared" si="16"/>
        <v>29.333333333333332</v>
      </c>
      <c r="L50" s="13">
        <v>23</v>
      </c>
      <c r="M50" s="13">
        <v>24</v>
      </c>
      <c r="N50" s="13">
        <v>21</v>
      </c>
      <c r="O50" s="31">
        <f t="shared" si="17"/>
        <v>22.666666666666668</v>
      </c>
    </row>
    <row r="51" spans="1:15" x14ac:dyDescent="0.35">
      <c r="A51" s="61" t="s">
        <v>48</v>
      </c>
      <c r="B51" s="25" t="s">
        <v>14</v>
      </c>
      <c r="C51" s="64">
        <v>13</v>
      </c>
      <c r="D51" s="64">
        <v>5</v>
      </c>
      <c r="E51" s="64">
        <v>120</v>
      </c>
      <c r="F51" s="64">
        <v>40</v>
      </c>
      <c r="G51" s="64">
        <v>16</v>
      </c>
      <c r="H51" s="13">
        <v>37</v>
      </c>
      <c r="I51" s="13">
        <v>34</v>
      </c>
      <c r="J51" s="13">
        <v>39</v>
      </c>
      <c r="K51" s="31">
        <f t="shared" si="16"/>
        <v>36.666666666666664</v>
      </c>
      <c r="L51" s="13">
        <v>26</v>
      </c>
      <c r="M51" s="13">
        <v>35</v>
      </c>
      <c r="N51" s="13">
        <v>24</v>
      </c>
      <c r="O51" s="31">
        <f t="shared" si="17"/>
        <v>28.333333333333332</v>
      </c>
    </row>
    <row r="52" spans="1:15" x14ac:dyDescent="0.35">
      <c r="A52" s="61" t="s">
        <v>49</v>
      </c>
      <c r="B52" s="25" t="s">
        <v>15</v>
      </c>
      <c r="C52" s="64">
        <v>9</v>
      </c>
      <c r="D52" s="64">
        <v>3</v>
      </c>
      <c r="E52" s="64">
        <v>60</v>
      </c>
      <c r="F52" s="64">
        <v>15</v>
      </c>
      <c r="G52" s="64">
        <v>7.5</v>
      </c>
      <c r="H52" s="13">
        <v>38</v>
      </c>
      <c r="I52" s="13">
        <v>39</v>
      </c>
      <c r="J52" s="13">
        <v>25</v>
      </c>
      <c r="K52" s="31">
        <f t="shared" si="16"/>
        <v>34</v>
      </c>
      <c r="L52" s="13">
        <v>20</v>
      </c>
      <c r="M52" s="13">
        <v>34</v>
      </c>
      <c r="N52" s="13">
        <v>39</v>
      </c>
      <c r="O52" s="31">
        <f t="shared" si="17"/>
        <v>31</v>
      </c>
    </row>
    <row r="53" spans="1:15" x14ac:dyDescent="0.35">
      <c r="A53" s="61" t="s">
        <v>35</v>
      </c>
      <c r="B53" s="25" t="s">
        <v>16</v>
      </c>
      <c r="C53" s="64">
        <v>9</v>
      </c>
      <c r="D53" s="64">
        <v>3</v>
      </c>
      <c r="E53" s="64">
        <v>55</v>
      </c>
      <c r="F53" s="64">
        <v>15</v>
      </c>
      <c r="G53" s="64">
        <v>9.5</v>
      </c>
      <c r="H53" s="13">
        <v>35</v>
      </c>
      <c r="I53" s="13">
        <v>24</v>
      </c>
      <c r="J53" s="13">
        <v>25</v>
      </c>
      <c r="K53" s="31">
        <f t="shared" si="16"/>
        <v>28</v>
      </c>
      <c r="L53" s="13">
        <v>20</v>
      </c>
      <c r="M53" s="13">
        <v>35</v>
      </c>
      <c r="N53" s="13">
        <v>28</v>
      </c>
      <c r="O53" s="31">
        <f t="shared" si="17"/>
        <v>27.666666666666668</v>
      </c>
    </row>
    <row r="54" spans="1:15" x14ac:dyDescent="0.35">
      <c r="A54" s="61" t="s">
        <v>50</v>
      </c>
      <c r="B54" s="25" t="s">
        <v>17</v>
      </c>
      <c r="C54" s="64">
        <v>9</v>
      </c>
      <c r="D54" s="64">
        <v>3</v>
      </c>
      <c r="E54" s="64">
        <v>49</v>
      </c>
      <c r="F54" s="64">
        <v>18</v>
      </c>
      <c r="G54" s="64">
        <v>10</v>
      </c>
      <c r="H54" s="13">
        <v>20</v>
      </c>
      <c r="I54" s="13">
        <v>40</v>
      </c>
      <c r="J54" s="13">
        <v>30</v>
      </c>
      <c r="K54" s="31">
        <f t="shared" si="16"/>
        <v>30</v>
      </c>
      <c r="L54" s="13">
        <v>20</v>
      </c>
      <c r="M54" s="13">
        <v>23</v>
      </c>
      <c r="N54" s="13">
        <v>21</v>
      </c>
      <c r="O54" s="31">
        <f t="shared" si="17"/>
        <v>21.333333333333332</v>
      </c>
    </row>
    <row r="55" spans="1:15" x14ac:dyDescent="0.35">
      <c r="A55" s="61" t="s">
        <v>51</v>
      </c>
      <c r="B55" s="25" t="s">
        <v>18</v>
      </c>
      <c r="C55" s="64">
        <v>18</v>
      </c>
      <c r="D55" s="64">
        <v>6</v>
      </c>
      <c r="E55" s="64">
        <v>130</v>
      </c>
      <c r="F55" s="64">
        <v>43</v>
      </c>
      <c r="G55" s="64">
        <v>20</v>
      </c>
      <c r="H55" s="13">
        <v>32</v>
      </c>
      <c r="I55" s="13">
        <v>28</v>
      </c>
      <c r="J55" s="13">
        <v>30</v>
      </c>
      <c r="K55" s="31">
        <f t="shared" si="16"/>
        <v>30</v>
      </c>
      <c r="L55" s="13">
        <v>26</v>
      </c>
      <c r="M55" s="13">
        <v>39</v>
      </c>
      <c r="N55" s="13">
        <v>33</v>
      </c>
      <c r="O55" s="31">
        <f t="shared" si="17"/>
        <v>32.666666666666664</v>
      </c>
    </row>
    <row r="56" spans="1:15" x14ac:dyDescent="0.35">
      <c r="A56" s="61" t="s">
        <v>52</v>
      </c>
      <c r="B56" s="25" t="s">
        <v>19</v>
      </c>
      <c r="C56" s="64">
        <v>17</v>
      </c>
      <c r="D56" s="64">
        <v>6</v>
      </c>
      <c r="E56" s="64">
        <v>175</v>
      </c>
      <c r="F56" s="64">
        <v>34</v>
      </c>
      <c r="G56" s="64">
        <v>27</v>
      </c>
      <c r="H56" s="13">
        <v>31</v>
      </c>
      <c r="I56" s="13">
        <v>30</v>
      </c>
      <c r="J56" s="13">
        <v>21</v>
      </c>
      <c r="K56" s="31">
        <f t="shared" si="16"/>
        <v>27.333333333333332</v>
      </c>
      <c r="L56" s="13">
        <v>34</v>
      </c>
      <c r="M56" s="13">
        <v>26</v>
      </c>
      <c r="N56" s="13">
        <v>34</v>
      </c>
      <c r="O56" s="31">
        <f t="shared" si="17"/>
        <v>31.333333333333332</v>
      </c>
    </row>
    <row r="57" spans="1:15" x14ac:dyDescent="0.35">
      <c r="A57" s="61" t="s">
        <v>53</v>
      </c>
      <c r="B57" s="25" t="s">
        <v>20</v>
      </c>
      <c r="C57" s="64">
        <v>6</v>
      </c>
      <c r="D57" s="64">
        <v>2</v>
      </c>
      <c r="E57" s="64">
        <v>58</v>
      </c>
      <c r="F57" s="64">
        <v>17</v>
      </c>
      <c r="G57" s="64">
        <v>3</v>
      </c>
      <c r="H57" s="13">
        <v>28</v>
      </c>
      <c r="I57" s="13">
        <v>27</v>
      </c>
      <c r="J57" s="13">
        <v>32</v>
      </c>
      <c r="K57" s="31">
        <f t="shared" si="16"/>
        <v>29</v>
      </c>
      <c r="L57" s="13">
        <v>29</v>
      </c>
      <c r="M57" s="13">
        <v>25</v>
      </c>
      <c r="N57" s="13">
        <v>28</v>
      </c>
      <c r="O57" s="31">
        <f t="shared" si="17"/>
        <v>27.333333333333332</v>
      </c>
    </row>
    <row r="58" spans="1:15" x14ac:dyDescent="0.35">
      <c r="A58" s="61" t="s">
        <v>54</v>
      </c>
      <c r="B58" s="25" t="s">
        <v>21</v>
      </c>
      <c r="C58" s="64">
        <v>16</v>
      </c>
      <c r="D58" s="64">
        <v>6</v>
      </c>
      <c r="E58" s="64">
        <v>125</v>
      </c>
      <c r="F58" s="64">
        <v>25</v>
      </c>
      <c r="G58" s="64">
        <v>30</v>
      </c>
      <c r="H58" s="13">
        <v>22</v>
      </c>
      <c r="I58" s="13">
        <v>40</v>
      </c>
      <c r="J58" s="13">
        <v>25</v>
      </c>
      <c r="K58" s="31">
        <f t="shared" si="16"/>
        <v>29</v>
      </c>
      <c r="L58" s="13">
        <v>25</v>
      </c>
      <c r="M58" s="13">
        <v>40</v>
      </c>
      <c r="N58" s="13">
        <v>29</v>
      </c>
      <c r="O58" s="31">
        <f t="shared" si="17"/>
        <v>31.333333333333332</v>
      </c>
    </row>
    <row r="59" spans="1:15" x14ac:dyDescent="0.35">
      <c r="A59" s="61" t="s">
        <v>36</v>
      </c>
      <c r="B59" s="25" t="s">
        <v>22</v>
      </c>
      <c r="C59" s="64">
        <v>8</v>
      </c>
      <c r="D59" s="64">
        <v>3</v>
      </c>
      <c r="E59" s="64">
        <v>100</v>
      </c>
      <c r="F59" s="64">
        <v>20</v>
      </c>
      <c r="G59" s="64">
        <v>50</v>
      </c>
      <c r="H59" s="13">
        <v>35</v>
      </c>
      <c r="I59" s="13">
        <v>39</v>
      </c>
      <c r="J59" s="13">
        <v>35</v>
      </c>
      <c r="K59" s="31">
        <f t="shared" si="16"/>
        <v>36.333333333333336</v>
      </c>
      <c r="L59" s="13">
        <v>39</v>
      </c>
      <c r="M59" s="13">
        <v>22</v>
      </c>
      <c r="N59" s="13">
        <v>23</v>
      </c>
      <c r="O59" s="31">
        <f t="shared" si="17"/>
        <v>28</v>
      </c>
    </row>
    <row r="60" spans="1:15" x14ac:dyDescent="0.35">
      <c r="A60" s="61" t="s">
        <v>55</v>
      </c>
      <c r="B60" s="25" t="s">
        <v>23</v>
      </c>
      <c r="C60" s="61">
        <v>18</v>
      </c>
      <c r="D60" s="61">
        <v>6</v>
      </c>
      <c r="E60" s="61">
        <v>200</v>
      </c>
      <c r="F60" s="61">
        <v>50</v>
      </c>
      <c r="G60" s="61">
        <v>50</v>
      </c>
      <c r="H60" s="13">
        <v>29</v>
      </c>
      <c r="I60" s="13">
        <v>39</v>
      </c>
      <c r="J60" s="13">
        <v>21</v>
      </c>
      <c r="K60" s="31">
        <f t="shared" si="16"/>
        <v>29.666666666666668</v>
      </c>
      <c r="L60" s="13">
        <v>25</v>
      </c>
      <c r="M60" s="13">
        <v>20</v>
      </c>
      <c r="N60" s="13">
        <v>36</v>
      </c>
      <c r="O60" s="31">
        <f>AVERAGE(L60:N60)</f>
        <v>27</v>
      </c>
    </row>
    <row r="61" spans="1:15" x14ac:dyDescent="0.35">
      <c r="A61" s="61" t="s">
        <v>56</v>
      </c>
      <c r="B61" s="25" t="s">
        <v>24</v>
      </c>
      <c r="C61" s="61">
        <v>17</v>
      </c>
      <c r="D61" s="61">
        <v>6</v>
      </c>
      <c r="E61" s="61">
        <v>140</v>
      </c>
      <c r="F61" s="61">
        <v>25</v>
      </c>
      <c r="G61" s="61">
        <v>50</v>
      </c>
      <c r="H61" s="7">
        <v>40</v>
      </c>
      <c r="I61" s="7">
        <v>26</v>
      </c>
      <c r="J61" s="7">
        <v>22</v>
      </c>
      <c r="K61" s="31">
        <f t="shared" si="16"/>
        <v>29.333333333333332</v>
      </c>
      <c r="L61" s="7">
        <v>24</v>
      </c>
      <c r="M61" s="7">
        <v>33</v>
      </c>
      <c r="N61" s="7">
        <v>37</v>
      </c>
      <c r="O61" s="31">
        <f t="shared" si="17"/>
        <v>31.333333333333332</v>
      </c>
    </row>
    <row r="62" spans="1:15" x14ac:dyDescent="0.35">
      <c r="A62" s="61" t="s">
        <v>38</v>
      </c>
      <c r="B62" s="63" t="s">
        <v>25</v>
      </c>
      <c r="C62" s="61">
        <v>19</v>
      </c>
      <c r="D62" s="61">
        <v>7</v>
      </c>
      <c r="E62" s="61">
        <v>180</v>
      </c>
      <c r="F62" s="61">
        <v>42</v>
      </c>
      <c r="G62" s="61">
        <v>50</v>
      </c>
      <c r="H62" s="7">
        <v>23</v>
      </c>
      <c r="I62" s="7">
        <v>28</v>
      </c>
      <c r="J62" s="7">
        <v>35</v>
      </c>
      <c r="K62" s="31">
        <f t="shared" si="16"/>
        <v>28.666666666666668</v>
      </c>
      <c r="L62" s="7">
        <v>29</v>
      </c>
      <c r="M62" s="7">
        <v>20</v>
      </c>
      <c r="N62" s="7">
        <v>36</v>
      </c>
      <c r="O62" s="31">
        <f t="shared" si="17"/>
        <v>28.333333333333332</v>
      </c>
    </row>
    <row r="63" spans="1:15" x14ac:dyDescent="0.35">
      <c r="A63" s="61" t="s">
        <v>57</v>
      </c>
      <c r="B63" s="63" t="s">
        <v>26</v>
      </c>
      <c r="C63" s="61">
        <v>15</v>
      </c>
      <c r="D63" s="61">
        <v>6</v>
      </c>
      <c r="E63" s="61">
        <v>200</v>
      </c>
      <c r="F63" s="61">
        <v>31</v>
      </c>
      <c r="G63" s="61">
        <v>50</v>
      </c>
      <c r="H63" s="7">
        <v>30</v>
      </c>
      <c r="I63" s="7">
        <v>30</v>
      </c>
      <c r="J63" s="7">
        <v>33</v>
      </c>
      <c r="K63" s="31">
        <f t="shared" si="16"/>
        <v>31</v>
      </c>
      <c r="L63" s="7">
        <v>31</v>
      </c>
      <c r="M63" s="7">
        <v>23</v>
      </c>
      <c r="N63" s="7">
        <v>32</v>
      </c>
      <c r="O63" s="31">
        <f t="shared" si="17"/>
        <v>28.666666666666668</v>
      </c>
    </row>
    <row r="64" spans="1:15" x14ac:dyDescent="0.35">
      <c r="A64" s="61" t="s">
        <v>58</v>
      </c>
      <c r="B64" s="63" t="s">
        <v>27</v>
      </c>
      <c r="C64" s="61">
        <v>16</v>
      </c>
      <c r="D64" s="61">
        <v>6</v>
      </c>
      <c r="E64" s="61">
        <v>150</v>
      </c>
      <c r="F64" s="61">
        <v>42</v>
      </c>
      <c r="G64" s="61">
        <v>50</v>
      </c>
      <c r="H64" s="7">
        <v>27</v>
      </c>
      <c r="I64" s="7">
        <v>24</v>
      </c>
      <c r="J64" s="7">
        <v>31</v>
      </c>
      <c r="K64" s="31">
        <f t="shared" si="16"/>
        <v>27.333333333333332</v>
      </c>
      <c r="L64" s="7">
        <v>27</v>
      </c>
      <c r="M64" s="7">
        <v>26</v>
      </c>
      <c r="N64" s="7">
        <v>28</v>
      </c>
      <c r="O64" s="31">
        <f t="shared" si="17"/>
        <v>27</v>
      </c>
    </row>
    <row r="65" spans="1:15" x14ac:dyDescent="0.35">
      <c r="A65" s="61" t="s">
        <v>59</v>
      </c>
      <c r="B65" s="63" t="s">
        <v>28</v>
      </c>
      <c r="C65" s="61">
        <v>9</v>
      </c>
      <c r="D65" s="61">
        <v>3</v>
      </c>
      <c r="E65" s="61">
        <v>43</v>
      </c>
      <c r="F65" s="61">
        <v>29</v>
      </c>
      <c r="G65" s="61">
        <v>10.5</v>
      </c>
      <c r="H65" s="7">
        <v>26</v>
      </c>
      <c r="I65" s="7">
        <v>23</v>
      </c>
      <c r="J65" s="7">
        <v>26</v>
      </c>
      <c r="K65" s="31">
        <f t="shared" si="16"/>
        <v>25</v>
      </c>
      <c r="L65" s="7">
        <v>32</v>
      </c>
      <c r="M65" s="7">
        <v>35</v>
      </c>
      <c r="N65" s="7">
        <v>33</v>
      </c>
      <c r="O65" s="31">
        <f t="shared" si="17"/>
        <v>33.333333333333336</v>
      </c>
    </row>
    <row r="66" spans="1:15" x14ac:dyDescent="0.35">
      <c r="A66" s="61" t="s">
        <v>60</v>
      </c>
      <c r="B66" s="63" t="s">
        <v>29</v>
      </c>
      <c r="C66" s="61">
        <v>8</v>
      </c>
      <c r="D66" s="61">
        <v>3</v>
      </c>
      <c r="E66" s="61">
        <v>45</v>
      </c>
      <c r="F66" s="61">
        <v>24</v>
      </c>
      <c r="G66" s="61">
        <v>13</v>
      </c>
      <c r="H66" s="7">
        <v>39</v>
      </c>
      <c r="I66" s="7">
        <v>28</v>
      </c>
      <c r="J66" s="7">
        <v>30</v>
      </c>
      <c r="K66" s="31">
        <f t="shared" si="16"/>
        <v>32.333333333333336</v>
      </c>
      <c r="L66" s="7">
        <v>40</v>
      </c>
      <c r="M66" s="7">
        <v>27</v>
      </c>
      <c r="N66" s="7">
        <v>21</v>
      </c>
      <c r="O66" s="31">
        <f t="shared" si="17"/>
        <v>29.333333333333332</v>
      </c>
    </row>
    <row r="67" spans="1:15" x14ac:dyDescent="0.35">
      <c r="A67" s="61" t="s">
        <v>61</v>
      </c>
      <c r="B67" s="63" t="s">
        <v>30</v>
      </c>
      <c r="C67" s="61">
        <v>9</v>
      </c>
      <c r="D67" s="61">
        <v>3</v>
      </c>
      <c r="E67" s="61">
        <v>37</v>
      </c>
      <c r="F67" s="61">
        <v>22</v>
      </c>
      <c r="G67" s="61">
        <v>10</v>
      </c>
      <c r="H67" s="7">
        <v>38</v>
      </c>
      <c r="I67" s="7">
        <v>29</v>
      </c>
      <c r="J67" s="7">
        <v>37</v>
      </c>
      <c r="K67" s="31">
        <f t="shared" si="16"/>
        <v>34.666666666666664</v>
      </c>
      <c r="L67" s="7">
        <v>26</v>
      </c>
      <c r="M67" s="7">
        <v>32</v>
      </c>
      <c r="N67" s="7">
        <v>25</v>
      </c>
      <c r="O67" s="31">
        <f t="shared" si="17"/>
        <v>27.666666666666668</v>
      </c>
    </row>
    <row r="68" spans="1:15" x14ac:dyDescent="0.35">
      <c r="A68" s="61" t="s">
        <v>62</v>
      </c>
      <c r="B68" s="63" t="s">
        <v>31</v>
      </c>
      <c r="C68" s="61">
        <v>9</v>
      </c>
      <c r="D68" s="61">
        <v>3</v>
      </c>
      <c r="E68" s="61">
        <v>57</v>
      </c>
      <c r="F68" s="61">
        <v>20</v>
      </c>
      <c r="G68" s="61">
        <v>12</v>
      </c>
      <c r="H68" s="7">
        <v>33</v>
      </c>
      <c r="I68" s="7">
        <v>38</v>
      </c>
      <c r="J68" s="7">
        <v>36</v>
      </c>
      <c r="K68" s="31">
        <f t="shared" si="16"/>
        <v>35.666666666666664</v>
      </c>
      <c r="L68" s="7">
        <v>34</v>
      </c>
      <c r="M68" s="7">
        <v>25</v>
      </c>
      <c r="N68" s="7">
        <v>36</v>
      </c>
      <c r="O68" s="31">
        <f t="shared" si="17"/>
        <v>31.666666666666668</v>
      </c>
    </row>
    <row r="69" spans="1:15" x14ac:dyDescent="0.35">
      <c r="A69" s="14"/>
      <c r="B69" s="7" t="s">
        <v>74</v>
      </c>
      <c r="C69" s="7">
        <f>SUM(C39:C68)</f>
        <v>325</v>
      </c>
      <c r="D69" s="7">
        <f t="shared" ref="D69:J69" si="19">SUM(D39:D68)</f>
        <v>115</v>
      </c>
      <c r="E69" s="7">
        <f t="shared" si="19"/>
        <v>2559</v>
      </c>
      <c r="F69" s="7">
        <f t="shared" si="19"/>
        <v>657</v>
      </c>
      <c r="G69" s="7">
        <f t="shared" si="19"/>
        <v>573.5</v>
      </c>
      <c r="H69" s="7">
        <f t="shared" si="19"/>
        <v>887</v>
      </c>
      <c r="I69" s="7">
        <f t="shared" si="19"/>
        <v>922</v>
      </c>
      <c r="J69" s="7">
        <f t="shared" si="19"/>
        <v>884</v>
      </c>
      <c r="K69" s="31">
        <f t="shared" si="16"/>
        <v>897.66666666666663</v>
      </c>
      <c r="L69" s="31">
        <f t="shared" si="16"/>
        <v>901.22222222222217</v>
      </c>
      <c r="M69" s="31">
        <f t="shared" si="16"/>
        <v>894.29629629629619</v>
      </c>
      <c r="N69" s="31">
        <f t="shared" si="16"/>
        <v>897.72839506172829</v>
      </c>
      <c r="O69" s="31">
        <f t="shared" si="17"/>
        <v>897.74897119341551</v>
      </c>
    </row>
    <row r="70" spans="1:15" x14ac:dyDescent="0.35">
      <c r="A70" s="14"/>
      <c r="B70" s="7" t="s">
        <v>75</v>
      </c>
      <c r="C70" s="30">
        <f>C69/30</f>
        <v>10.833333333333334</v>
      </c>
      <c r="D70" s="30">
        <f t="shared" ref="D70:O70" si="20">D69/30</f>
        <v>3.8333333333333335</v>
      </c>
      <c r="E70" s="30">
        <f t="shared" si="20"/>
        <v>85.3</v>
      </c>
      <c r="F70" s="30">
        <f t="shared" si="20"/>
        <v>21.9</v>
      </c>
      <c r="G70" s="30">
        <f t="shared" si="20"/>
        <v>19.116666666666667</v>
      </c>
      <c r="H70" s="30">
        <f t="shared" si="20"/>
        <v>29.566666666666666</v>
      </c>
      <c r="I70" s="30">
        <f t="shared" si="20"/>
        <v>30.733333333333334</v>
      </c>
      <c r="J70" s="30">
        <f t="shared" si="20"/>
        <v>29.466666666666665</v>
      </c>
      <c r="K70" s="30">
        <f t="shared" si="20"/>
        <v>29.922222222222221</v>
      </c>
      <c r="L70" s="30">
        <f t="shared" si="20"/>
        <v>30.040740740740738</v>
      </c>
      <c r="M70" s="30">
        <f t="shared" si="20"/>
        <v>29.809876543209874</v>
      </c>
      <c r="N70" s="30">
        <f t="shared" si="20"/>
        <v>29.924279835390944</v>
      </c>
      <c r="O70" s="30">
        <f t="shared" si="20"/>
        <v>29.924965706447185</v>
      </c>
    </row>
    <row r="72" spans="1:15" ht="78" x14ac:dyDescent="0.35">
      <c r="A72" s="7"/>
      <c r="B72" s="7"/>
      <c r="C72" s="12" t="s">
        <v>76</v>
      </c>
      <c r="D72" s="12" t="s">
        <v>63</v>
      </c>
      <c r="E72" s="12" t="s">
        <v>77</v>
      </c>
      <c r="F72" s="12" t="s">
        <v>78</v>
      </c>
      <c r="G72" s="13" t="s">
        <v>69</v>
      </c>
      <c r="H72" s="12" t="s">
        <v>73</v>
      </c>
      <c r="I72" s="22" t="s">
        <v>79</v>
      </c>
      <c r="J72" s="12" t="s">
        <v>54</v>
      </c>
      <c r="K72" s="12" t="s">
        <v>80</v>
      </c>
      <c r="L72" s="12" t="s">
        <v>53</v>
      </c>
      <c r="M72" s="13" t="s">
        <v>81</v>
      </c>
    </row>
    <row r="73" spans="1:15" ht="15.5" x14ac:dyDescent="0.35">
      <c r="A73" s="7" t="s">
        <v>33</v>
      </c>
      <c r="B73" s="5" t="s">
        <v>2</v>
      </c>
      <c r="C73" s="12">
        <v>32</v>
      </c>
      <c r="D73" s="12">
        <v>9</v>
      </c>
      <c r="E73" s="32">
        <f>C73/D73</f>
        <v>3.5555555555555554</v>
      </c>
      <c r="F73" s="17">
        <v>4</v>
      </c>
      <c r="G73" s="26">
        <f>K39</f>
        <v>35</v>
      </c>
      <c r="H73" s="28">
        <f>O39</f>
        <v>25.666666666666668</v>
      </c>
      <c r="I73" s="17">
        <f>F73</f>
        <v>4</v>
      </c>
      <c r="J73" s="17">
        <f>(G73/I73)+(H73/I73)</f>
        <v>15.166666666666668</v>
      </c>
      <c r="K73" s="17">
        <v>4</v>
      </c>
      <c r="L73" s="32">
        <f>G73/K73</f>
        <v>8.75</v>
      </c>
      <c r="M73" s="28">
        <f>J73/L73</f>
        <v>1.7333333333333334</v>
      </c>
    </row>
    <row r="74" spans="1:15" ht="15.5" x14ac:dyDescent="0.35">
      <c r="A74" s="7" t="s">
        <v>39</v>
      </c>
      <c r="B74" s="5" t="s">
        <v>3</v>
      </c>
      <c r="C74" s="12">
        <v>29</v>
      </c>
      <c r="D74" s="12">
        <v>8</v>
      </c>
      <c r="E74" s="32">
        <f t="shared" ref="E74:E102" si="21">C74/D74</f>
        <v>3.625</v>
      </c>
      <c r="F74" s="17">
        <v>4</v>
      </c>
      <c r="G74" s="26">
        <f t="shared" ref="G74:G102" si="22">K40</f>
        <v>25.666666666666668</v>
      </c>
      <c r="H74" s="28">
        <f t="shared" ref="H74:H102" si="23">O40</f>
        <v>28.333333333333332</v>
      </c>
      <c r="I74" s="17">
        <f t="shared" ref="I74:I102" si="24">F74</f>
        <v>4</v>
      </c>
      <c r="J74" s="17">
        <f t="shared" ref="J74:J102" si="25">(G74/I74)+(H74/I74)</f>
        <v>13.5</v>
      </c>
      <c r="K74" s="17">
        <v>4</v>
      </c>
      <c r="L74" s="32">
        <f t="shared" ref="L74:L102" si="26">G74/K74</f>
        <v>6.416666666666667</v>
      </c>
      <c r="M74" s="28">
        <f t="shared" ref="M74:M102" si="27">J74/L74</f>
        <v>2.1038961038961039</v>
      </c>
    </row>
    <row r="75" spans="1:15" ht="15.5" x14ac:dyDescent="0.35">
      <c r="A75" s="7" t="s">
        <v>40</v>
      </c>
      <c r="B75" s="5" t="s">
        <v>4</v>
      </c>
      <c r="C75" s="12">
        <v>22</v>
      </c>
      <c r="D75" s="12">
        <v>6</v>
      </c>
      <c r="E75" s="32">
        <f t="shared" si="21"/>
        <v>3.6666666666666665</v>
      </c>
      <c r="F75" s="17">
        <v>4</v>
      </c>
      <c r="G75" s="26">
        <f t="shared" si="22"/>
        <v>24.666666666666668</v>
      </c>
      <c r="H75" s="28">
        <f t="shared" si="23"/>
        <v>24.333333333333332</v>
      </c>
      <c r="I75" s="17">
        <f t="shared" si="24"/>
        <v>4</v>
      </c>
      <c r="J75" s="17">
        <f t="shared" si="25"/>
        <v>12.25</v>
      </c>
      <c r="K75" s="17">
        <v>4</v>
      </c>
      <c r="L75" s="32">
        <f t="shared" si="26"/>
        <v>6.166666666666667</v>
      </c>
      <c r="M75" s="28">
        <f t="shared" si="27"/>
        <v>1.9864864864864864</v>
      </c>
    </row>
    <row r="76" spans="1:15" ht="15.5" x14ac:dyDescent="0.35">
      <c r="A76" s="7" t="s">
        <v>41</v>
      </c>
      <c r="B76" s="5" t="s">
        <v>5</v>
      </c>
      <c r="C76" s="12">
        <v>33</v>
      </c>
      <c r="D76" s="12">
        <v>9</v>
      </c>
      <c r="E76" s="32">
        <f t="shared" si="21"/>
        <v>3.6666666666666665</v>
      </c>
      <c r="F76" s="17">
        <v>4</v>
      </c>
      <c r="G76" s="26">
        <f t="shared" si="22"/>
        <v>31</v>
      </c>
      <c r="H76" s="28">
        <f t="shared" si="23"/>
        <v>29</v>
      </c>
      <c r="I76" s="17">
        <f t="shared" si="24"/>
        <v>4</v>
      </c>
      <c r="J76" s="17">
        <f t="shared" si="25"/>
        <v>15</v>
      </c>
      <c r="K76" s="17">
        <v>4</v>
      </c>
      <c r="L76" s="32">
        <f t="shared" si="26"/>
        <v>7.75</v>
      </c>
      <c r="M76" s="28">
        <f t="shared" si="27"/>
        <v>1.935483870967742</v>
      </c>
    </row>
    <row r="77" spans="1:15" ht="15.5" x14ac:dyDescent="0.35">
      <c r="A77" s="7" t="s">
        <v>37</v>
      </c>
      <c r="B77" s="5" t="s">
        <v>6</v>
      </c>
      <c r="C77" s="12">
        <v>22</v>
      </c>
      <c r="D77" s="12">
        <v>6</v>
      </c>
      <c r="E77" s="32">
        <f t="shared" si="21"/>
        <v>3.6666666666666665</v>
      </c>
      <c r="F77" s="17">
        <v>4</v>
      </c>
      <c r="G77" s="26">
        <f t="shared" si="22"/>
        <v>27.666666666666668</v>
      </c>
      <c r="H77" s="28">
        <f t="shared" si="23"/>
        <v>26.333333333333332</v>
      </c>
      <c r="I77" s="17">
        <f t="shared" si="24"/>
        <v>4</v>
      </c>
      <c r="J77" s="17">
        <f t="shared" si="25"/>
        <v>13.5</v>
      </c>
      <c r="K77" s="17">
        <v>4</v>
      </c>
      <c r="L77" s="32">
        <f t="shared" si="26"/>
        <v>6.916666666666667</v>
      </c>
      <c r="M77" s="28">
        <f t="shared" si="27"/>
        <v>1.9518072289156625</v>
      </c>
    </row>
    <row r="78" spans="1:15" ht="15.5" x14ac:dyDescent="0.35">
      <c r="A78" s="7" t="s">
        <v>42</v>
      </c>
      <c r="B78" s="5" t="s">
        <v>7</v>
      </c>
      <c r="C78" s="12">
        <v>48</v>
      </c>
      <c r="D78" s="12">
        <v>8</v>
      </c>
      <c r="E78" s="32">
        <f t="shared" si="21"/>
        <v>6</v>
      </c>
      <c r="F78" s="17">
        <v>6</v>
      </c>
      <c r="G78" s="26">
        <f t="shared" si="22"/>
        <v>27.666666666666668</v>
      </c>
      <c r="H78" s="28">
        <f t="shared" si="23"/>
        <v>32.333333333333336</v>
      </c>
      <c r="I78" s="17">
        <f t="shared" si="24"/>
        <v>6</v>
      </c>
      <c r="J78" s="17">
        <f t="shared" si="25"/>
        <v>10</v>
      </c>
      <c r="K78" s="17">
        <v>4</v>
      </c>
      <c r="L78" s="32">
        <f t="shared" si="26"/>
        <v>6.916666666666667</v>
      </c>
      <c r="M78" s="28">
        <f t="shared" si="27"/>
        <v>1.4457831325301205</v>
      </c>
    </row>
    <row r="79" spans="1:15" ht="15.5" x14ac:dyDescent="0.35">
      <c r="A79" s="7" t="s">
        <v>43</v>
      </c>
      <c r="B79" s="5" t="s">
        <v>8</v>
      </c>
      <c r="C79" s="12">
        <v>48</v>
      </c>
      <c r="D79" s="12">
        <v>9</v>
      </c>
      <c r="E79" s="32">
        <f t="shared" si="21"/>
        <v>5.333333333333333</v>
      </c>
      <c r="F79" s="17">
        <v>5</v>
      </c>
      <c r="G79" s="26">
        <f t="shared" si="22"/>
        <v>33</v>
      </c>
      <c r="H79" s="28">
        <f t="shared" si="23"/>
        <v>31.666666666666668</v>
      </c>
      <c r="I79" s="17">
        <f t="shared" si="24"/>
        <v>5</v>
      </c>
      <c r="J79" s="17">
        <f t="shared" si="25"/>
        <v>12.933333333333334</v>
      </c>
      <c r="K79" s="17">
        <v>4</v>
      </c>
      <c r="L79" s="32">
        <f t="shared" si="26"/>
        <v>8.25</v>
      </c>
      <c r="M79" s="28">
        <f t="shared" si="27"/>
        <v>1.5676767676767678</v>
      </c>
    </row>
    <row r="80" spans="1:15" ht="15.5" x14ac:dyDescent="0.35">
      <c r="A80" s="7" t="s">
        <v>44</v>
      </c>
      <c r="B80" s="5" t="s">
        <v>9</v>
      </c>
      <c r="C80" s="12">
        <v>31</v>
      </c>
      <c r="D80" s="12">
        <v>6</v>
      </c>
      <c r="E80" s="32">
        <f t="shared" si="21"/>
        <v>5.166666666666667</v>
      </c>
      <c r="F80" s="17">
        <v>5</v>
      </c>
      <c r="G80" s="26">
        <f t="shared" si="22"/>
        <v>28</v>
      </c>
      <c r="H80" s="28">
        <f t="shared" si="23"/>
        <v>27.666666666666668</v>
      </c>
      <c r="I80" s="17">
        <f t="shared" si="24"/>
        <v>5</v>
      </c>
      <c r="J80" s="17">
        <f t="shared" si="25"/>
        <v>11.133333333333333</v>
      </c>
      <c r="K80" s="17">
        <v>4</v>
      </c>
      <c r="L80" s="32">
        <f t="shared" si="26"/>
        <v>7</v>
      </c>
      <c r="M80" s="28">
        <f t="shared" si="27"/>
        <v>1.5904761904761904</v>
      </c>
    </row>
    <row r="81" spans="1:13" ht="15.5" x14ac:dyDescent="0.35">
      <c r="A81" s="7" t="s">
        <v>34</v>
      </c>
      <c r="B81" s="5" t="s">
        <v>10</v>
      </c>
      <c r="C81" s="12">
        <v>28</v>
      </c>
      <c r="D81" s="12">
        <v>7</v>
      </c>
      <c r="E81" s="32">
        <f t="shared" si="21"/>
        <v>4</v>
      </c>
      <c r="F81" s="17">
        <v>4</v>
      </c>
      <c r="G81" s="26">
        <f t="shared" si="22"/>
        <v>24.666666666666668</v>
      </c>
      <c r="H81" s="28">
        <f t="shared" si="23"/>
        <v>31.666666666666668</v>
      </c>
      <c r="I81" s="17">
        <f t="shared" si="24"/>
        <v>4</v>
      </c>
      <c r="J81" s="17">
        <f t="shared" si="25"/>
        <v>14.083333333333334</v>
      </c>
      <c r="K81" s="17">
        <v>4</v>
      </c>
      <c r="L81" s="32">
        <f t="shared" si="26"/>
        <v>6.166666666666667</v>
      </c>
      <c r="M81" s="28">
        <f t="shared" si="27"/>
        <v>2.2837837837837838</v>
      </c>
    </row>
    <row r="82" spans="1:13" ht="15.5" x14ac:dyDescent="0.35">
      <c r="A82" s="61" t="s">
        <v>45</v>
      </c>
      <c r="B82" s="25" t="s">
        <v>11</v>
      </c>
      <c r="C82" s="64">
        <v>79</v>
      </c>
      <c r="D82" s="64">
        <v>15</v>
      </c>
      <c r="E82" s="65">
        <f t="shared" si="21"/>
        <v>5.2666666666666666</v>
      </c>
      <c r="F82" s="66">
        <v>5</v>
      </c>
      <c r="G82" s="26">
        <f t="shared" si="22"/>
        <v>31.666666666666668</v>
      </c>
      <c r="H82" s="28">
        <f t="shared" si="23"/>
        <v>28</v>
      </c>
      <c r="I82" s="66">
        <f t="shared" si="24"/>
        <v>5</v>
      </c>
      <c r="J82" s="66">
        <f t="shared" si="25"/>
        <v>11.933333333333334</v>
      </c>
      <c r="K82" s="66">
        <v>4</v>
      </c>
      <c r="L82" s="65">
        <f t="shared" si="26"/>
        <v>7.916666666666667</v>
      </c>
      <c r="M82" s="67">
        <f t="shared" si="27"/>
        <v>1.5073684210526315</v>
      </c>
    </row>
    <row r="83" spans="1:13" ht="15.5" x14ac:dyDescent="0.35">
      <c r="A83" s="61" t="s">
        <v>46</v>
      </c>
      <c r="B83" s="25" t="s">
        <v>12</v>
      </c>
      <c r="C83" s="64">
        <v>41</v>
      </c>
      <c r="D83" s="64">
        <v>8</v>
      </c>
      <c r="E83" s="65">
        <f t="shared" si="21"/>
        <v>5.125</v>
      </c>
      <c r="F83" s="66">
        <v>5</v>
      </c>
      <c r="G83" s="26">
        <f t="shared" si="22"/>
        <v>25.333333333333332</v>
      </c>
      <c r="H83" s="28">
        <f t="shared" si="23"/>
        <v>30</v>
      </c>
      <c r="I83" s="66">
        <f t="shared" si="24"/>
        <v>5</v>
      </c>
      <c r="J83" s="66">
        <f t="shared" si="25"/>
        <v>11.066666666666666</v>
      </c>
      <c r="K83" s="66">
        <v>4</v>
      </c>
      <c r="L83" s="65">
        <f t="shared" si="26"/>
        <v>6.333333333333333</v>
      </c>
      <c r="M83" s="67">
        <f t="shared" si="27"/>
        <v>1.7473684210526317</v>
      </c>
    </row>
    <row r="84" spans="1:13" ht="15.5" x14ac:dyDescent="0.35">
      <c r="A84" s="61" t="s">
        <v>47</v>
      </c>
      <c r="B84" s="25" t="s">
        <v>13</v>
      </c>
      <c r="C84" s="64">
        <v>44</v>
      </c>
      <c r="D84" s="64">
        <v>9</v>
      </c>
      <c r="E84" s="65">
        <f t="shared" si="21"/>
        <v>4.8888888888888893</v>
      </c>
      <c r="F84" s="66">
        <v>5</v>
      </c>
      <c r="G84" s="26">
        <f t="shared" si="22"/>
        <v>29.333333333333332</v>
      </c>
      <c r="H84" s="28">
        <f t="shared" si="23"/>
        <v>22.666666666666668</v>
      </c>
      <c r="I84" s="66">
        <f t="shared" si="24"/>
        <v>5</v>
      </c>
      <c r="J84" s="66">
        <f t="shared" si="25"/>
        <v>10.399999999999999</v>
      </c>
      <c r="K84" s="66">
        <v>4</v>
      </c>
      <c r="L84" s="65">
        <f t="shared" si="26"/>
        <v>7.333333333333333</v>
      </c>
      <c r="M84" s="67">
        <f t="shared" si="27"/>
        <v>1.418181818181818</v>
      </c>
    </row>
    <row r="85" spans="1:13" ht="15.5" x14ac:dyDescent="0.35">
      <c r="A85" s="61" t="s">
        <v>48</v>
      </c>
      <c r="B85" s="25" t="s">
        <v>14</v>
      </c>
      <c r="C85" s="64">
        <v>80</v>
      </c>
      <c r="D85" s="64">
        <v>13</v>
      </c>
      <c r="E85" s="65">
        <f t="shared" si="21"/>
        <v>6.1538461538461542</v>
      </c>
      <c r="F85" s="66">
        <v>6</v>
      </c>
      <c r="G85" s="26">
        <f t="shared" si="22"/>
        <v>36.666666666666664</v>
      </c>
      <c r="H85" s="28">
        <f t="shared" si="23"/>
        <v>28.333333333333332</v>
      </c>
      <c r="I85" s="66">
        <f t="shared" si="24"/>
        <v>6</v>
      </c>
      <c r="J85" s="66">
        <f t="shared" si="25"/>
        <v>10.833333333333332</v>
      </c>
      <c r="K85" s="66">
        <v>4</v>
      </c>
      <c r="L85" s="65">
        <f t="shared" si="26"/>
        <v>9.1666666666666661</v>
      </c>
      <c r="M85" s="67">
        <f t="shared" si="27"/>
        <v>1.1818181818181817</v>
      </c>
    </row>
    <row r="86" spans="1:13" ht="15.5" x14ac:dyDescent="0.35">
      <c r="A86" s="61" t="s">
        <v>49</v>
      </c>
      <c r="B86" s="25" t="s">
        <v>15</v>
      </c>
      <c r="C86" s="64">
        <v>33</v>
      </c>
      <c r="D86" s="64">
        <v>9</v>
      </c>
      <c r="E86" s="65">
        <f t="shared" si="21"/>
        <v>3.6666666666666665</v>
      </c>
      <c r="F86" s="66">
        <v>4</v>
      </c>
      <c r="G86" s="26">
        <f t="shared" si="22"/>
        <v>34</v>
      </c>
      <c r="H86" s="28">
        <f t="shared" si="23"/>
        <v>31</v>
      </c>
      <c r="I86" s="66">
        <f t="shared" si="24"/>
        <v>4</v>
      </c>
      <c r="J86" s="66">
        <f t="shared" si="25"/>
        <v>16.25</v>
      </c>
      <c r="K86" s="66">
        <v>4</v>
      </c>
      <c r="L86" s="65">
        <f t="shared" si="26"/>
        <v>8.5</v>
      </c>
      <c r="M86" s="67">
        <f t="shared" si="27"/>
        <v>1.911764705882353</v>
      </c>
    </row>
    <row r="87" spans="1:13" ht="15.5" x14ac:dyDescent="0.35">
      <c r="A87" s="61" t="s">
        <v>35</v>
      </c>
      <c r="B87" s="25" t="s">
        <v>16</v>
      </c>
      <c r="C87" s="64">
        <v>31</v>
      </c>
      <c r="D87" s="64">
        <v>9</v>
      </c>
      <c r="E87" s="65">
        <f t="shared" si="21"/>
        <v>3.4444444444444446</v>
      </c>
      <c r="F87" s="66">
        <v>3</v>
      </c>
      <c r="G87" s="26">
        <f t="shared" si="22"/>
        <v>28</v>
      </c>
      <c r="H87" s="28">
        <f t="shared" si="23"/>
        <v>27.666666666666668</v>
      </c>
      <c r="I87" s="66">
        <f t="shared" si="24"/>
        <v>3</v>
      </c>
      <c r="J87" s="66">
        <f t="shared" si="25"/>
        <v>18.555555555555557</v>
      </c>
      <c r="K87" s="66">
        <v>4</v>
      </c>
      <c r="L87" s="65">
        <f t="shared" si="26"/>
        <v>7</v>
      </c>
      <c r="M87" s="67">
        <f t="shared" si="27"/>
        <v>2.6507936507936511</v>
      </c>
    </row>
    <row r="88" spans="1:13" ht="15.5" x14ac:dyDescent="0.35">
      <c r="A88" s="61" t="s">
        <v>50</v>
      </c>
      <c r="B88" s="25" t="s">
        <v>17</v>
      </c>
      <c r="C88" s="64">
        <v>47</v>
      </c>
      <c r="D88" s="64">
        <v>9</v>
      </c>
      <c r="E88" s="65">
        <f t="shared" si="21"/>
        <v>5.2222222222222223</v>
      </c>
      <c r="F88" s="66">
        <v>5</v>
      </c>
      <c r="G88" s="26">
        <f t="shared" si="22"/>
        <v>30</v>
      </c>
      <c r="H88" s="28">
        <f t="shared" si="23"/>
        <v>21.333333333333332</v>
      </c>
      <c r="I88" s="66">
        <f t="shared" si="24"/>
        <v>5</v>
      </c>
      <c r="J88" s="66">
        <f t="shared" si="25"/>
        <v>10.266666666666666</v>
      </c>
      <c r="K88" s="66">
        <v>4</v>
      </c>
      <c r="L88" s="65">
        <f t="shared" si="26"/>
        <v>7.5</v>
      </c>
      <c r="M88" s="67">
        <f t="shared" si="27"/>
        <v>1.3688888888888888</v>
      </c>
    </row>
    <row r="89" spans="1:13" ht="15.5" x14ac:dyDescent="0.35">
      <c r="A89" s="61" t="s">
        <v>51</v>
      </c>
      <c r="B89" s="25" t="s">
        <v>18</v>
      </c>
      <c r="C89" s="64">
        <v>97</v>
      </c>
      <c r="D89" s="64">
        <v>18</v>
      </c>
      <c r="E89" s="65">
        <f t="shared" si="21"/>
        <v>5.3888888888888893</v>
      </c>
      <c r="F89" s="66">
        <v>5</v>
      </c>
      <c r="G89" s="26">
        <f t="shared" si="22"/>
        <v>30</v>
      </c>
      <c r="H89" s="28">
        <f t="shared" si="23"/>
        <v>32.666666666666664</v>
      </c>
      <c r="I89" s="66">
        <f t="shared" si="24"/>
        <v>5</v>
      </c>
      <c r="J89" s="66">
        <f t="shared" si="25"/>
        <v>12.533333333333333</v>
      </c>
      <c r="K89" s="66">
        <v>4</v>
      </c>
      <c r="L89" s="65">
        <f t="shared" si="26"/>
        <v>7.5</v>
      </c>
      <c r="M89" s="67">
        <f t="shared" si="27"/>
        <v>1.671111111111111</v>
      </c>
    </row>
    <row r="90" spans="1:13" ht="15.5" x14ac:dyDescent="0.35">
      <c r="A90" s="61" t="s">
        <v>52</v>
      </c>
      <c r="B90" s="25" t="s">
        <v>19</v>
      </c>
      <c r="C90" s="64">
        <v>91</v>
      </c>
      <c r="D90" s="64">
        <v>17</v>
      </c>
      <c r="E90" s="65">
        <f t="shared" si="21"/>
        <v>5.3529411764705879</v>
      </c>
      <c r="F90" s="66">
        <v>5</v>
      </c>
      <c r="G90" s="26">
        <f t="shared" si="22"/>
        <v>27.333333333333332</v>
      </c>
      <c r="H90" s="28">
        <f t="shared" si="23"/>
        <v>31.333333333333332</v>
      </c>
      <c r="I90" s="66">
        <f t="shared" si="24"/>
        <v>5</v>
      </c>
      <c r="J90" s="66">
        <f t="shared" si="25"/>
        <v>11.733333333333334</v>
      </c>
      <c r="K90" s="66">
        <v>4</v>
      </c>
      <c r="L90" s="65">
        <f t="shared" si="26"/>
        <v>6.833333333333333</v>
      </c>
      <c r="M90" s="67">
        <f t="shared" si="27"/>
        <v>1.7170731707317075</v>
      </c>
    </row>
    <row r="91" spans="1:13" ht="15.5" x14ac:dyDescent="0.35">
      <c r="A91" s="61" t="s">
        <v>53</v>
      </c>
      <c r="B91" s="25" t="s">
        <v>20</v>
      </c>
      <c r="C91" s="64">
        <v>29</v>
      </c>
      <c r="D91" s="64">
        <v>6</v>
      </c>
      <c r="E91" s="65">
        <f t="shared" si="21"/>
        <v>4.833333333333333</v>
      </c>
      <c r="F91" s="66">
        <v>5</v>
      </c>
      <c r="G91" s="26">
        <f t="shared" si="22"/>
        <v>29</v>
      </c>
      <c r="H91" s="28">
        <f t="shared" si="23"/>
        <v>27.333333333333332</v>
      </c>
      <c r="I91" s="66">
        <f t="shared" si="24"/>
        <v>5</v>
      </c>
      <c r="J91" s="66">
        <f t="shared" si="25"/>
        <v>11.266666666666666</v>
      </c>
      <c r="K91" s="66">
        <v>4</v>
      </c>
      <c r="L91" s="65">
        <f t="shared" si="26"/>
        <v>7.25</v>
      </c>
      <c r="M91" s="67">
        <f t="shared" si="27"/>
        <v>1.554022988505747</v>
      </c>
    </row>
    <row r="92" spans="1:13" ht="15.5" x14ac:dyDescent="0.35">
      <c r="A92" s="61" t="s">
        <v>54</v>
      </c>
      <c r="B92" s="25" t="s">
        <v>21</v>
      </c>
      <c r="C92" s="64">
        <v>88</v>
      </c>
      <c r="D92" s="64">
        <v>16</v>
      </c>
      <c r="E92" s="65">
        <f t="shared" si="21"/>
        <v>5.5</v>
      </c>
      <c r="F92" s="66">
        <v>6</v>
      </c>
      <c r="G92" s="26">
        <f t="shared" si="22"/>
        <v>29</v>
      </c>
      <c r="H92" s="28">
        <f t="shared" si="23"/>
        <v>31.333333333333332</v>
      </c>
      <c r="I92" s="66">
        <f t="shared" si="24"/>
        <v>6</v>
      </c>
      <c r="J92" s="66">
        <f t="shared" si="25"/>
        <v>10.055555555555555</v>
      </c>
      <c r="K92" s="66">
        <v>4</v>
      </c>
      <c r="L92" s="65">
        <f t="shared" si="26"/>
        <v>7.25</v>
      </c>
      <c r="M92" s="67">
        <f t="shared" si="27"/>
        <v>1.3869731800766283</v>
      </c>
    </row>
    <row r="93" spans="1:13" ht="15.5" x14ac:dyDescent="0.35">
      <c r="A93" s="61" t="s">
        <v>36</v>
      </c>
      <c r="B93" s="25" t="s">
        <v>22</v>
      </c>
      <c r="C93" s="64">
        <v>37</v>
      </c>
      <c r="D93" s="64">
        <v>8</v>
      </c>
      <c r="E93" s="65">
        <f t="shared" si="21"/>
        <v>4.625</v>
      </c>
      <c r="F93" s="66">
        <v>5</v>
      </c>
      <c r="G93" s="26">
        <f t="shared" si="22"/>
        <v>36.333333333333336</v>
      </c>
      <c r="H93" s="28">
        <f t="shared" si="23"/>
        <v>28</v>
      </c>
      <c r="I93" s="66">
        <f t="shared" si="24"/>
        <v>5</v>
      </c>
      <c r="J93" s="66">
        <f t="shared" si="25"/>
        <v>12.866666666666667</v>
      </c>
      <c r="K93" s="66">
        <v>4</v>
      </c>
      <c r="L93" s="65">
        <f t="shared" si="26"/>
        <v>9.0833333333333339</v>
      </c>
      <c r="M93" s="67">
        <f t="shared" si="27"/>
        <v>1.4165137614678898</v>
      </c>
    </row>
    <row r="94" spans="1:13" ht="15.5" x14ac:dyDescent="0.35">
      <c r="A94" s="61" t="s">
        <v>55</v>
      </c>
      <c r="B94" s="25" t="s">
        <v>23</v>
      </c>
      <c r="C94" s="61">
        <v>102</v>
      </c>
      <c r="D94" s="61">
        <v>18</v>
      </c>
      <c r="E94" s="65">
        <f>C94/D94</f>
        <v>5.666666666666667</v>
      </c>
      <c r="F94" s="66">
        <v>6</v>
      </c>
      <c r="G94" s="26">
        <f t="shared" si="22"/>
        <v>29.666666666666668</v>
      </c>
      <c r="H94" s="28">
        <f t="shared" si="23"/>
        <v>27</v>
      </c>
      <c r="I94" s="66">
        <f>F94</f>
        <v>6</v>
      </c>
      <c r="J94" s="66">
        <f t="shared" si="25"/>
        <v>9.4444444444444446</v>
      </c>
      <c r="K94" s="66">
        <v>4</v>
      </c>
      <c r="L94" s="65">
        <f>G94/K94</f>
        <v>7.416666666666667</v>
      </c>
      <c r="M94" s="67">
        <f t="shared" si="27"/>
        <v>1.2734082397003745</v>
      </c>
    </row>
    <row r="95" spans="1:13" ht="15.5" x14ac:dyDescent="0.35">
      <c r="A95" s="61" t="s">
        <v>56</v>
      </c>
      <c r="B95" s="25" t="s">
        <v>24</v>
      </c>
      <c r="C95" s="61">
        <v>98</v>
      </c>
      <c r="D95" s="61">
        <v>17</v>
      </c>
      <c r="E95" s="65">
        <f t="shared" si="21"/>
        <v>5.7647058823529411</v>
      </c>
      <c r="F95" s="66">
        <v>6</v>
      </c>
      <c r="G95" s="26">
        <f t="shared" si="22"/>
        <v>29.333333333333332</v>
      </c>
      <c r="H95" s="28">
        <f t="shared" si="23"/>
        <v>31.333333333333332</v>
      </c>
      <c r="I95" s="66">
        <f t="shared" si="24"/>
        <v>6</v>
      </c>
      <c r="J95" s="66">
        <f t="shared" si="25"/>
        <v>10.111111111111111</v>
      </c>
      <c r="K95" s="66">
        <v>4</v>
      </c>
      <c r="L95" s="65">
        <f t="shared" si="26"/>
        <v>7.333333333333333</v>
      </c>
      <c r="M95" s="67">
        <f t="shared" si="27"/>
        <v>1.3787878787878789</v>
      </c>
    </row>
    <row r="96" spans="1:13" ht="15.5" x14ac:dyDescent="0.35">
      <c r="A96" s="61" t="s">
        <v>38</v>
      </c>
      <c r="B96" s="63" t="s">
        <v>25</v>
      </c>
      <c r="C96" s="61">
        <v>123</v>
      </c>
      <c r="D96" s="61">
        <v>19</v>
      </c>
      <c r="E96" s="65">
        <f t="shared" si="21"/>
        <v>6.4736842105263159</v>
      </c>
      <c r="F96" s="66">
        <v>7</v>
      </c>
      <c r="G96" s="26">
        <f t="shared" si="22"/>
        <v>28.666666666666668</v>
      </c>
      <c r="H96" s="28">
        <f t="shared" si="23"/>
        <v>28.333333333333332</v>
      </c>
      <c r="I96" s="66">
        <f t="shared" si="24"/>
        <v>7</v>
      </c>
      <c r="J96" s="66">
        <f t="shared" si="25"/>
        <v>8.1428571428571423</v>
      </c>
      <c r="K96" s="66">
        <v>4</v>
      </c>
      <c r="L96" s="65">
        <f t="shared" si="26"/>
        <v>7.166666666666667</v>
      </c>
      <c r="M96" s="67">
        <f t="shared" si="27"/>
        <v>1.1362126245847175</v>
      </c>
    </row>
    <row r="97" spans="1:13" ht="15.5" x14ac:dyDescent="0.35">
      <c r="A97" s="61" t="s">
        <v>57</v>
      </c>
      <c r="B97" s="63" t="s">
        <v>26</v>
      </c>
      <c r="C97" s="61">
        <v>85</v>
      </c>
      <c r="D97" s="61">
        <v>15</v>
      </c>
      <c r="E97" s="65">
        <f t="shared" si="21"/>
        <v>5.666666666666667</v>
      </c>
      <c r="F97" s="66">
        <v>6</v>
      </c>
      <c r="G97" s="26">
        <f t="shared" si="22"/>
        <v>31</v>
      </c>
      <c r="H97" s="28">
        <f t="shared" si="23"/>
        <v>28.666666666666668</v>
      </c>
      <c r="I97" s="66">
        <f t="shared" si="24"/>
        <v>6</v>
      </c>
      <c r="J97" s="66">
        <f t="shared" si="25"/>
        <v>9.9444444444444446</v>
      </c>
      <c r="K97" s="66">
        <v>4</v>
      </c>
      <c r="L97" s="65">
        <f t="shared" si="26"/>
        <v>7.75</v>
      </c>
      <c r="M97" s="67">
        <f t="shared" si="27"/>
        <v>1.2831541218637994</v>
      </c>
    </row>
    <row r="98" spans="1:13" ht="15.5" x14ac:dyDescent="0.35">
      <c r="A98" s="61" t="s">
        <v>58</v>
      </c>
      <c r="B98" s="63" t="s">
        <v>27</v>
      </c>
      <c r="C98" s="61">
        <v>99</v>
      </c>
      <c r="D98" s="61">
        <v>16</v>
      </c>
      <c r="E98" s="65">
        <f t="shared" si="21"/>
        <v>6.1875</v>
      </c>
      <c r="F98" s="66">
        <v>6</v>
      </c>
      <c r="G98" s="26">
        <f t="shared" si="22"/>
        <v>27.333333333333332</v>
      </c>
      <c r="H98" s="28">
        <f t="shared" si="23"/>
        <v>27</v>
      </c>
      <c r="I98" s="66">
        <f t="shared" si="24"/>
        <v>6</v>
      </c>
      <c r="J98" s="66">
        <f t="shared" si="25"/>
        <v>9.0555555555555554</v>
      </c>
      <c r="K98" s="66">
        <v>4</v>
      </c>
      <c r="L98" s="65">
        <f t="shared" si="26"/>
        <v>6.833333333333333</v>
      </c>
      <c r="M98" s="67">
        <f t="shared" si="27"/>
        <v>1.3252032520325203</v>
      </c>
    </row>
    <row r="99" spans="1:13" ht="15.5" x14ac:dyDescent="0.35">
      <c r="A99" s="7" t="s">
        <v>59</v>
      </c>
      <c r="B99" s="6" t="s">
        <v>28</v>
      </c>
      <c r="C99" s="7">
        <v>35</v>
      </c>
      <c r="D99" s="7">
        <v>9</v>
      </c>
      <c r="E99" s="32">
        <f t="shared" si="21"/>
        <v>3.8888888888888888</v>
      </c>
      <c r="F99" s="17">
        <v>4</v>
      </c>
      <c r="G99" s="26">
        <f t="shared" si="22"/>
        <v>25</v>
      </c>
      <c r="H99" s="28">
        <f t="shared" si="23"/>
        <v>33.333333333333336</v>
      </c>
      <c r="I99" s="17">
        <f t="shared" si="24"/>
        <v>4</v>
      </c>
      <c r="J99" s="17">
        <f t="shared" si="25"/>
        <v>14.583333333333334</v>
      </c>
      <c r="K99" s="17">
        <v>4</v>
      </c>
      <c r="L99" s="32">
        <f t="shared" si="26"/>
        <v>6.25</v>
      </c>
      <c r="M99" s="28">
        <f t="shared" si="27"/>
        <v>2.3333333333333335</v>
      </c>
    </row>
    <row r="100" spans="1:13" ht="15.5" x14ac:dyDescent="0.35">
      <c r="A100" s="7" t="s">
        <v>60</v>
      </c>
      <c r="B100" s="6" t="s">
        <v>29</v>
      </c>
      <c r="C100" s="7">
        <v>40</v>
      </c>
      <c r="D100" s="7">
        <v>8</v>
      </c>
      <c r="E100" s="32">
        <f t="shared" si="21"/>
        <v>5</v>
      </c>
      <c r="F100" s="17">
        <v>5</v>
      </c>
      <c r="G100" s="26">
        <f t="shared" si="22"/>
        <v>32.333333333333336</v>
      </c>
      <c r="H100" s="28">
        <f t="shared" si="23"/>
        <v>29.333333333333332</v>
      </c>
      <c r="I100" s="17">
        <f t="shared" si="24"/>
        <v>5</v>
      </c>
      <c r="J100" s="17">
        <f t="shared" si="25"/>
        <v>12.333333333333332</v>
      </c>
      <c r="K100" s="17">
        <v>4</v>
      </c>
      <c r="L100" s="32">
        <f t="shared" si="26"/>
        <v>8.0833333333333339</v>
      </c>
      <c r="M100" s="28">
        <f t="shared" si="27"/>
        <v>1.5257731958762883</v>
      </c>
    </row>
    <row r="101" spans="1:13" ht="15.5" x14ac:dyDescent="0.35">
      <c r="A101" s="7" t="s">
        <v>61</v>
      </c>
      <c r="B101" s="6" t="s">
        <v>30</v>
      </c>
      <c r="C101" s="7">
        <v>36</v>
      </c>
      <c r="D101" s="7">
        <v>9</v>
      </c>
      <c r="E101" s="32">
        <f t="shared" si="21"/>
        <v>4</v>
      </c>
      <c r="F101" s="17">
        <v>4</v>
      </c>
      <c r="G101" s="26">
        <f t="shared" si="22"/>
        <v>34.666666666666664</v>
      </c>
      <c r="H101" s="28">
        <f t="shared" si="23"/>
        <v>27.666666666666668</v>
      </c>
      <c r="I101" s="17">
        <f t="shared" si="24"/>
        <v>4</v>
      </c>
      <c r="J101" s="17">
        <f t="shared" si="25"/>
        <v>15.583333333333332</v>
      </c>
      <c r="K101" s="17">
        <v>4</v>
      </c>
      <c r="L101" s="32">
        <f t="shared" si="26"/>
        <v>8.6666666666666661</v>
      </c>
      <c r="M101" s="28">
        <f t="shared" si="27"/>
        <v>1.7980769230769231</v>
      </c>
    </row>
    <row r="102" spans="1:13" ht="15.5" x14ac:dyDescent="0.35">
      <c r="A102" s="7" t="s">
        <v>62</v>
      </c>
      <c r="B102" s="6" t="s">
        <v>31</v>
      </c>
      <c r="C102" s="7">
        <v>43</v>
      </c>
      <c r="D102" s="7">
        <v>9</v>
      </c>
      <c r="E102" s="32">
        <f t="shared" si="21"/>
        <v>4.7777777777777777</v>
      </c>
      <c r="F102" s="17">
        <v>5</v>
      </c>
      <c r="G102" s="26">
        <f t="shared" si="22"/>
        <v>35.666666666666664</v>
      </c>
      <c r="H102" s="28">
        <f t="shared" si="23"/>
        <v>31.666666666666668</v>
      </c>
      <c r="I102" s="17">
        <f t="shared" si="24"/>
        <v>5</v>
      </c>
      <c r="J102" s="17">
        <f t="shared" si="25"/>
        <v>13.466666666666667</v>
      </c>
      <c r="K102" s="17">
        <v>4</v>
      </c>
      <c r="L102" s="32">
        <f t="shared" si="26"/>
        <v>8.9166666666666661</v>
      </c>
      <c r="M102" s="28">
        <f t="shared" si="27"/>
        <v>1.5102803738317758</v>
      </c>
    </row>
    <row r="103" spans="1:13" x14ac:dyDescent="0.35">
      <c r="A103" s="15"/>
      <c r="B103" s="15" t="s">
        <v>82</v>
      </c>
      <c r="C103" s="33">
        <f>SUM(C73:C102)</f>
        <v>1651</v>
      </c>
      <c r="D103" s="33">
        <f t="shared" ref="D103:M103" si="28">SUM(D73:D102)</f>
        <v>325</v>
      </c>
      <c r="E103" s="34">
        <f t="shared" si="28"/>
        <v>145.57434408986268</v>
      </c>
      <c r="F103" s="34">
        <f t="shared" si="28"/>
        <v>148</v>
      </c>
      <c r="G103" s="35">
        <f t="shared" si="28"/>
        <v>897.66666666666663</v>
      </c>
      <c r="H103" s="35">
        <f t="shared" si="28"/>
        <v>861.00000000000011</v>
      </c>
      <c r="I103" s="35">
        <f t="shared" si="28"/>
        <v>148</v>
      </c>
      <c r="J103" s="35">
        <f t="shared" si="28"/>
        <v>367.99285714285702</v>
      </c>
      <c r="K103" s="34">
        <f t="shared" si="28"/>
        <v>120</v>
      </c>
      <c r="L103" s="34">
        <f t="shared" si="28"/>
        <v>224.41666666666666</v>
      </c>
      <c r="M103" s="34">
        <f t="shared" si="28"/>
        <v>49.694835140717046</v>
      </c>
    </row>
    <row r="104" spans="1:13" x14ac:dyDescent="0.35">
      <c r="A104" s="15"/>
      <c r="B104" s="15" t="s">
        <v>75</v>
      </c>
      <c r="C104" s="33">
        <f>C103/30</f>
        <v>55.033333333333331</v>
      </c>
      <c r="D104" s="33">
        <f t="shared" ref="D104:M104" si="29">D103/30</f>
        <v>10.833333333333334</v>
      </c>
      <c r="E104" s="34">
        <f t="shared" si="29"/>
        <v>4.8524781363287559</v>
      </c>
      <c r="F104" s="34">
        <f t="shared" si="29"/>
        <v>4.9333333333333336</v>
      </c>
      <c r="G104" s="34">
        <f t="shared" si="29"/>
        <v>29.922222222222221</v>
      </c>
      <c r="H104" s="34">
        <f t="shared" si="29"/>
        <v>28.700000000000003</v>
      </c>
      <c r="I104" s="34">
        <f t="shared" si="29"/>
        <v>4.9333333333333336</v>
      </c>
      <c r="J104" s="34">
        <f t="shared" si="29"/>
        <v>12.266428571428568</v>
      </c>
      <c r="K104" s="34">
        <f t="shared" si="29"/>
        <v>4</v>
      </c>
      <c r="L104" s="34">
        <f t="shared" si="29"/>
        <v>7.4805555555555552</v>
      </c>
      <c r="M104" s="34">
        <f t="shared" si="29"/>
        <v>1.6564945046905681</v>
      </c>
    </row>
  </sheetData>
  <mergeCells count="41">
    <mergeCell ref="AR41:AS41"/>
    <mergeCell ref="AY36:AZ36"/>
    <mergeCell ref="BH36:BI36"/>
    <mergeCell ref="AO33:AP33"/>
    <mergeCell ref="AO34:AP34"/>
    <mergeCell ref="H37:J37"/>
    <mergeCell ref="K37:K38"/>
    <mergeCell ref="L37:N37"/>
    <mergeCell ref="O37:O38"/>
    <mergeCell ref="AO23:AP23"/>
    <mergeCell ref="AO24:AP24"/>
    <mergeCell ref="AO25:AP25"/>
    <mergeCell ref="AO26:AP26"/>
    <mergeCell ref="AO27:AP27"/>
    <mergeCell ref="AO35:AP35"/>
    <mergeCell ref="AO29:AP29"/>
    <mergeCell ref="AO30:AP30"/>
    <mergeCell ref="AO31:AP31"/>
    <mergeCell ref="AO32:AP32"/>
    <mergeCell ref="AO13:AP13"/>
    <mergeCell ref="AO14:AP14"/>
    <mergeCell ref="AO15:AP15"/>
    <mergeCell ref="AO28:AP28"/>
    <mergeCell ref="AO17:AP17"/>
    <mergeCell ref="AO18:AP18"/>
    <mergeCell ref="AO19:AP19"/>
    <mergeCell ref="AO20:AP20"/>
    <mergeCell ref="AO21:AP21"/>
    <mergeCell ref="AO22:AP22"/>
    <mergeCell ref="AO16:AP16"/>
    <mergeCell ref="AO5:AP5"/>
    <mergeCell ref="AO6:AP6"/>
    <mergeCell ref="AO7:AP7"/>
    <mergeCell ref="AO8:AP8"/>
    <mergeCell ref="AO9:AP9"/>
    <mergeCell ref="AO10:AP10"/>
    <mergeCell ref="AO11:AP11"/>
    <mergeCell ref="AO12:AP12"/>
    <mergeCell ref="AR32:AS32"/>
    <mergeCell ref="AR23:AS23"/>
    <mergeCell ref="AR12:AS12"/>
  </mergeCells>
  <hyperlinks>
    <hyperlink ref="B5" r:id="rId1" display="https://krukus-indonesia.blogspot.com/2010/11/no-name-12.html" xr:uid="{6E9112F7-4E2C-4E8E-89C4-E5597BE20F2B}"/>
    <hyperlink ref="B6" r:id="rId2" display="https://krukus-indonesia.blogspot.com/2010/11/no-name-6.html" xr:uid="{8B7FE56D-5444-4D9A-BD71-2FE0EFF1D7A0}"/>
    <hyperlink ref="B7" r:id="rId3" display="https://krukus-indonesia.blogspot.com/2010/11/annular-bop.html" xr:uid="{4D008C8E-BDE0-44E4-8C90-7336CBB0D680}"/>
    <hyperlink ref="B8" r:id="rId4" display="https://krukus-indonesia.blogspot.com/2010/11/annular-bop-set.html" xr:uid="{9B6B7BC8-82F4-4CD0-8F3F-3F5CDD845CC2}"/>
    <hyperlink ref="B9" r:id="rId5" display="https://krukus-indonesia.blogspot.com/2010/11/bop-flanges.html" xr:uid="{59535DE8-7A39-4CF0-A8A0-3B7A849FD215}"/>
    <hyperlink ref="B10" r:id="rId6" display="https://krukus-indonesia.blogspot.com/2010/11/bop-flanges-s.html" xr:uid="{FF3A24CD-4753-4F29-9A8A-80B41720B552}"/>
    <hyperlink ref="B11" r:id="rId7" display="https://krukus-indonesia.blogspot.com/2010/11/bop-set.html" xr:uid="{01861649-CF54-459A-A1FC-FFBAA9CF921C}"/>
    <hyperlink ref="B12" r:id="rId8" display="https://krukus-indonesia.blogspot.com/2010/11/hydrils.html" xr:uid="{0719BA22-B708-4A00-BA43-C87C13925FAE}"/>
    <hyperlink ref="B13" r:id="rId9" display="https://krukus-indonesia.blogspot.com/2010/11/ram.html" xr:uid="{049E24A2-C501-48CC-BC64-AF280F1F674D}"/>
    <hyperlink ref="B14" r:id="rId10" display="https://krukus-indonesia.blogspot.com/2010/11/shaffer.html" xr:uid="{04059226-F12C-457F-AC88-10C7EEB15704}"/>
    <hyperlink ref="B15" r:id="rId11" display="https://krukus-indonesia.blogspot.com/2010/11/shaffer-b.html" xr:uid="{23DECEE2-B268-4F0C-BD28-5C5847264403}"/>
    <hyperlink ref="B16" r:id="rId12" display="https://krukus-indonesia.blogspot.com/2010/11/shaffer-l8.html" xr:uid="{4933823B-287E-4C5A-A03A-203E1AEA0102}"/>
    <hyperlink ref="B17" r:id="rId13" display="https://krukus-indonesia.blogspot.com/2010/11/shaffer-s.html" xr:uid="{A37C4590-56E3-45C5-AFD6-FE8B448FED3C}"/>
    <hyperlink ref="B18" r:id="rId14" display="https://krukus-indonesia.blogspot.com/2010/11/mounting.html" xr:uid="{2A5BF4BA-B550-4947-BDAA-ECCFCBB90EBA}"/>
    <hyperlink ref="B19" r:id="rId15" display="https://krukus-indonesia.blogspot.com/2010/11/front-pic.html" xr:uid="{89E2C022-A096-41DF-9B03-96937E594811}"/>
    <hyperlink ref="B20" r:id="rId16" display="https://krukus-indonesia.blogspot.com/2010/11/chain.html" xr:uid="{01929C8F-238D-4326-885A-1AE53E436926}"/>
    <hyperlink ref="B21" r:id="rId17" display="https://krukus-indonesia.blogspot.com/2010/11/chain-2.html" xr:uid="{3D5BEEB7-F2A5-4BDA-9B7D-1B89CDC57365}"/>
    <hyperlink ref="B22" r:id="rId18" display="https://krukus-indonesia.blogspot.com/2010/11/dam-chain.html" xr:uid="{D64FAE26-6120-40E9-A03F-3E55397E6EF2}"/>
    <hyperlink ref="B23" r:id="rId19" display="https://krukus-indonesia.blogspot.com/2010/11/spring-single.html" xr:uid="{02FB7A73-B2E2-4780-9E23-21493342D1E8}"/>
    <hyperlink ref="B24" r:id="rId20" display="https://krukus-indonesia.blogspot.com/2010/11/spring-plate.html" xr:uid="{F98F1CE8-CCCE-4D47-A73A-93A313D599FA}"/>
    <hyperlink ref="B25" r:id="rId21" display="https://krukus-indonesia.blogspot.com/2010/11/multi-spring.html" xr:uid="{0B2EA23E-F88A-4A48-824C-3A192E7BAD91}"/>
    <hyperlink ref="B26" r:id="rId22" display="https://krukus-indonesia.blogspot.com/2010/11/cartridge-metal-bellows.html" xr:uid="{DC2A2C50-E042-4C9F-8EB2-F625571A66CF}"/>
    <hyperlink ref="B27" r:id="rId23" display="https://krukus-indonesia.blogspot.com/2010/11/catride-multi-spring.html" xr:uid="{64B21C21-4AB4-48D8-AD18-40B09C682E61}"/>
    <hyperlink ref="C4" r:id="rId24" display="https://krukus-indonesia.blogspot.com/2010/11/no-name-12.html" xr:uid="{B81D179E-BE5C-4693-AAE4-AB910314E3B7}"/>
    <hyperlink ref="D4" r:id="rId25" display="https://krukus-indonesia.blogspot.com/2010/11/no-name-6.html" xr:uid="{619B9C75-A9E1-4D74-8507-656D6CD84E8E}"/>
    <hyperlink ref="E4" r:id="rId26" display="https://krukus-indonesia.blogspot.com/2010/11/annular-bop.html" xr:uid="{E6162226-5E8C-41CB-8044-FB7A3BBC7E21}"/>
    <hyperlink ref="F4" r:id="rId27" display="https://krukus-indonesia.blogspot.com/2010/11/annular-bop-set.html" xr:uid="{F48727FF-86A0-4FCF-A2E3-04D18788D2AA}"/>
    <hyperlink ref="G4" r:id="rId28" display="https://krukus-indonesia.blogspot.com/2010/11/bop-flanges.html" xr:uid="{70A0AD78-086A-4E8C-BBE5-6F44C5534A19}"/>
    <hyperlink ref="H4" r:id="rId29" display="https://krukus-indonesia.blogspot.com/2010/11/bop-flanges-s.html" xr:uid="{36FB9562-F7BD-4EA1-959A-F959CCFF60CC}"/>
    <hyperlink ref="I4" r:id="rId30" display="https://krukus-indonesia.blogspot.com/2010/11/bop-set.html" xr:uid="{7DA7F373-A354-4058-A663-D84549152281}"/>
    <hyperlink ref="J4" r:id="rId31" display="https://krukus-indonesia.blogspot.com/2010/11/hydrils.html" xr:uid="{7DF95A71-5368-4A85-8416-DE563C277F35}"/>
    <hyperlink ref="K4" r:id="rId32" display="https://krukus-indonesia.blogspot.com/2010/11/ram.html" xr:uid="{7E0440B4-AFC3-40F5-9E67-763B2BA84239}"/>
    <hyperlink ref="L4" r:id="rId33" display="https://krukus-indonesia.blogspot.com/2010/11/shaffer.html" xr:uid="{3F61DF3E-AF19-477E-98A8-685EA5940EB1}"/>
    <hyperlink ref="M4" r:id="rId34" display="https://krukus-indonesia.blogspot.com/2010/11/shaffer-b.html" xr:uid="{BF3F02A5-8C5E-4FA0-99A6-EA8EF6D3AD23}"/>
    <hyperlink ref="N4" r:id="rId35" display="https://krukus-indonesia.blogspot.com/2010/11/shaffer-l8.html" xr:uid="{F8349436-F3E0-4F90-98F9-AAF5AEC27081}"/>
    <hyperlink ref="O4" r:id="rId36" display="https://krukus-indonesia.blogspot.com/2010/11/shaffer-s.html" xr:uid="{F3330033-D6EA-421E-AA4C-A95A414BBA54}"/>
    <hyperlink ref="P4" r:id="rId37" display="https://krukus-indonesia.blogspot.com/2010/11/mounting.html" xr:uid="{C37359E3-AD86-4907-8A10-D13A21885BA0}"/>
    <hyperlink ref="Q4" r:id="rId38" display="https://krukus-indonesia.blogspot.com/2010/11/front-pic.html" xr:uid="{DBD0A73E-F8C9-4AC3-96BF-0B2AEBDC62FC}"/>
    <hyperlink ref="R4" r:id="rId39" display="https://krukus-indonesia.blogspot.com/2010/11/chain.html" xr:uid="{64ADB59D-97F1-4C10-BFFF-7AE3DB4785C2}"/>
    <hyperlink ref="S4" r:id="rId40" display="https://krukus-indonesia.blogspot.com/2010/11/chain-2.html" xr:uid="{0061B75A-4F8C-496D-A5AC-0A902E34FB4D}"/>
    <hyperlink ref="T4" r:id="rId41" display="https://krukus-indonesia.blogspot.com/2010/11/dam-chain.html" xr:uid="{6A91C9BB-B302-4577-9A9F-DD9CEB54B109}"/>
    <hyperlink ref="U4" r:id="rId42" display="https://krukus-indonesia.blogspot.com/2010/11/spring-single.html" xr:uid="{87A66E91-ED81-4E1D-8D04-1DFF29604791}"/>
    <hyperlink ref="V4" r:id="rId43" display="https://krukus-indonesia.blogspot.com/2010/11/spring-plate.html" xr:uid="{EE189CCC-A108-48DC-AAA8-B539C05B13EB}"/>
    <hyperlink ref="W4" r:id="rId44" display="https://krukus-indonesia.blogspot.com/2010/11/multi-spring.html" xr:uid="{5A835FA9-635B-4688-9F40-AD7963B834B8}"/>
    <hyperlink ref="X4" r:id="rId45" display="https://krukus-indonesia.blogspot.com/2010/11/cartridge-metal-bellows.html" xr:uid="{7822D33F-8628-4883-B2EB-DD54C37A1766}"/>
    <hyperlink ref="Y4" r:id="rId46" display="https://krukus-indonesia.blogspot.com/2010/11/catride-multi-spring.html" xr:uid="{D65FC10A-ADBD-46B4-8587-542A845DB985}"/>
    <hyperlink ref="AN28" r:id="rId47" display="https://krukus-indonesia.blogspot.com/2010/11/catride-multi-spring.html" xr:uid="{5C5123E5-509D-4C49-BA50-147980378BEA}"/>
    <hyperlink ref="AN27" r:id="rId48" display="https://krukus-indonesia.blogspot.com/2010/11/cartridge-metal-bellows.html" xr:uid="{96A323FF-DFEE-4CA7-86AF-88D40C1F8E29}"/>
    <hyperlink ref="AN26" r:id="rId49" display="https://krukus-indonesia.blogspot.com/2010/11/multi-spring.html" xr:uid="{2DEDA034-32DA-4C07-8011-C5516646109F}"/>
    <hyperlink ref="AN25" r:id="rId50" display="https://krukus-indonesia.blogspot.com/2010/11/spring-plate.html" xr:uid="{2B65B23F-A332-40FE-99D5-EF4EE85826F3}"/>
    <hyperlink ref="AN24" r:id="rId51" display="https://krukus-indonesia.blogspot.com/2010/11/spring-single.html" xr:uid="{7DFC16B6-7784-4A11-BFEF-ADB242504672}"/>
    <hyperlink ref="AN23" r:id="rId52" display="https://krukus-indonesia.blogspot.com/2010/11/dam-chain.html" xr:uid="{B9AF9DBF-138E-4F15-A521-D94F7B2D264E}"/>
    <hyperlink ref="AN22" r:id="rId53" display="https://krukus-indonesia.blogspot.com/2010/11/chain-2.html" xr:uid="{59CA96BD-9B8D-4321-B6A0-6F3FE5ACA7E5}"/>
    <hyperlink ref="AN21" r:id="rId54" display="https://krukus-indonesia.blogspot.com/2010/11/chain.html" xr:uid="{77DC55F4-3346-4D91-8875-2AA3D9089B51}"/>
    <hyperlink ref="AN20" r:id="rId55" display="https://krukus-indonesia.blogspot.com/2010/11/front-pic.html" xr:uid="{90E618F0-1EA7-4051-A320-203CFE414040}"/>
    <hyperlink ref="AN19" r:id="rId56" display="https://krukus-indonesia.blogspot.com/2010/11/mounting.html" xr:uid="{D88D6EA1-7596-47E5-8106-B8FDFD974CAB}"/>
    <hyperlink ref="AN18" r:id="rId57" display="https://krukus-indonesia.blogspot.com/2010/11/shaffer-s.html" xr:uid="{9FA76FEC-0749-42D7-A7D7-187C423E3DF2}"/>
    <hyperlink ref="AN17" r:id="rId58" display="https://krukus-indonesia.blogspot.com/2010/11/shaffer-l8.html" xr:uid="{71806E0A-C82F-4DF1-8F53-2B57CBBCF76A}"/>
    <hyperlink ref="AN16" r:id="rId59" display="https://krukus-indonesia.blogspot.com/2010/11/shaffer-b.html" xr:uid="{BCA25461-2168-4189-8BAA-C7EEF4929E79}"/>
    <hyperlink ref="AN15" r:id="rId60" display="https://krukus-indonesia.blogspot.com/2010/11/shaffer.html" xr:uid="{ACF1FF5A-C10F-4FE6-AFCE-3C46FC8E648C}"/>
    <hyperlink ref="AN14" r:id="rId61" display="https://krukus-indonesia.blogspot.com/2010/11/ram.html" xr:uid="{E4549B34-597B-4C9C-BA69-755B538BA192}"/>
    <hyperlink ref="AN13" r:id="rId62" display="https://krukus-indonesia.blogspot.com/2010/11/hydrils.html" xr:uid="{68FF2220-406C-48C0-892D-0D5525720EFB}"/>
    <hyperlink ref="AN12" r:id="rId63" display="https://krukus-indonesia.blogspot.com/2010/11/bop-set.html" xr:uid="{5FAAA785-F55D-4B2E-859E-956697ADDC97}"/>
    <hyperlink ref="AN11" r:id="rId64" display="https://krukus-indonesia.blogspot.com/2010/11/bop-flanges-s.html" xr:uid="{389EB9A8-6FAE-436A-8529-5DA96A579C60}"/>
    <hyperlink ref="AN10" r:id="rId65" display="https://krukus-indonesia.blogspot.com/2010/11/bop-flanges.html" xr:uid="{91AB0C82-7624-4293-A047-B5A63674BBF3}"/>
    <hyperlink ref="AN9" r:id="rId66" display="https://krukus-indonesia.blogspot.com/2010/11/annular-bop-set.html" xr:uid="{A4D76218-3D3E-48B6-A685-5A383B457CE9}"/>
    <hyperlink ref="AN8" r:id="rId67" display="https://krukus-indonesia.blogspot.com/2010/11/annular-bop.html" xr:uid="{C7D6692F-1A57-4ECD-8B7A-AAB3A9DC1E86}"/>
    <hyperlink ref="AN7" r:id="rId68" display="https://krukus-indonesia.blogspot.com/2010/11/no-name-6.html" xr:uid="{71D8DCBF-41E7-4584-B4AE-9C5444C67D72}"/>
    <hyperlink ref="AN6" r:id="rId69" display="https://krukus-indonesia.blogspot.com/2010/11/no-name-12.html" xr:uid="{8A4C8D87-8B18-4904-BFCD-C51D5A292828}"/>
    <hyperlink ref="B39" r:id="rId70" display="https://krukus-indonesia.blogspot.com/2010/11/no-name-12.html" xr:uid="{F0C578D4-DAD9-48B3-A657-A206246E4DEC}"/>
    <hyperlink ref="B40" r:id="rId71" display="https://krukus-indonesia.blogspot.com/2010/11/no-name-6.html" xr:uid="{A97D2446-DEFD-4D71-8A41-31FC9CD23301}"/>
    <hyperlink ref="B41" r:id="rId72" display="https://krukus-indonesia.blogspot.com/2010/11/annular-bop.html" xr:uid="{417158CF-1D3C-4E9A-9791-8C929B7DA11B}"/>
    <hyperlink ref="B42" r:id="rId73" display="https://krukus-indonesia.blogspot.com/2010/11/annular-bop-set.html" xr:uid="{6C2886CC-88C4-4625-9425-83F8374D27FB}"/>
    <hyperlink ref="B43" r:id="rId74" display="https://krukus-indonesia.blogspot.com/2010/11/bop-flanges.html" xr:uid="{A92B021C-B0C3-49C7-8DDA-B437AF8AF790}"/>
    <hyperlink ref="B44" r:id="rId75" display="https://krukus-indonesia.blogspot.com/2010/11/bop-flanges-s.html" xr:uid="{7808F854-6B8D-49A5-8EA2-84A948D7B47A}"/>
    <hyperlink ref="B45" r:id="rId76" display="https://krukus-indonesia.blogspot.com/2010/11/bop-set.html" xr:uid="{6DF01CB1-46BB-46B9-BF6D-106D776E486D}"/>
    <hyperlink ref="B46" r:id="rId77" display="https://krukus-indonesia.blogspot.com/2010/11/hydrils.html" xr:uid="{A65D317D-F338-4A43-B9E3-72D35808D804}"/>
    <hyperlink ref="B47" r:id="rId78" display="https://krukus-indonesia.blogspot.com/2010/11/ram.html" xr:uid="{BD5CCCE2-02F5-4DC1-9AB1-474493222AA3}"/>
    <hyperlink ref="B48" r:id="rId79" display="https://krukus-indonesia.blogspot.com/2010/11/shaffer.html" xr:uid="{E42D35F0-F451-4A31-8FE9-FAE874D220A0}"/>
    <hyperlink ref="B49" r:id="rId80" display="https://krukus-indonesia.blogspot.com/2010/11/shaffer-b.html" xr:uid="{F7ED03F2-1E46-4120-B5E6-31AF992062EC}"/>
    <hyperlink ref="B50" r:id="rId81" display="https://krukus-indonesia.blogspot.com/2010/11/shaffer-l8.html" xr:uid="{C7636B71-8534-452B-8591-FE088EFE272C}"/>
    <hyperlink ref="B51" r:id="rId82" display="https://krukus-indonesia.blogspot.com/2010/11/shaffer-s.html" xr:uid="{0492CE26-5FE8-4688-8FF1-B76CA028EE37}"/>
    <hyperlink ref="B52" r:id="rId83" display="https://krukus-indonesia.blogspot.com/2010/11/mounting.html" xr:uid="{7E1E10EA-5972-4E29-8110-A573AEA3086D}"/>
    <hyperlink ref="B53" r:id="rId84" display="https://krukus-indonesia.blogspot.com/2010/11/front-pic.html" xr:uid="{6D4ED904-074B-4C80-8460-BFE8543A15CB}"/>
    <hyperlink ref="B54" r:id="rId85" display="https://krukus-indonesia.blogspot.com/2010/11/chain.html" xr:uid="{FF99087D-F582-4ED7-A31C-3031F5D7104E}"/>
    <hyperlink ref="B55" r:id="rId86" display="https://krukus-indonesia.blogspot.com/2010/11/chain-2.html" xr:uid="{388F2289-D71F-4BB1-B7C6-6AFB5897A395}"/>
    <hyperlink ref="B56" r:id="rId87" display="https://krukus-indonesia.blogspot.com/2010/11/dam-chain.html" xr:uid="{16E9B865-4695-4212-B6DA-0D0D7D46E952}"/>
    <hyperlink ref="B57" r:id="rId88" display="https://krukus-indonesia.blogspot.com/2010/11/spring-single.html" xr:uid="{7EC3D26C-AC1F-47C6-AF40-D8C81B1B826B}"/>
    <hyperlink ref="B58" r:id="rId89" display="https://krukus-indonesia.blogspot.com/2010/11/spring-plate.html" xr:uid="{66D8CC34-93E0-4B9D-8609-7E3265003251}"/>
    <hyperlink ref="B59" r:id="rId90" display="https://krukus-indonesia.blogspot.com/2010/11/multi-spring.html" xr:uid="{4E7EA307-2028-4821-9DEC-9FEF68F6F5AD}"/>
    <hyperlink ref="B60" r:id="rId91" display="https://krukus-indonesia.blogspot.com/2010/11/cartridge-metal-bellows.html" xr:uid="{D4C9B653-9B70-488B-8D79-7C4DCE2362D8}"/>
    <hyperlink ref="B61" r:id="rId92" display="https://krukus-indonesia.blogspot.com/2010/11/catride-multi-spring.html" xr:uid="{5E13CCC6-8BF1-48AC-AEDB-9C8EB0AB2E6F}"/>
    <hyperlink ref="B73" r:id="rId93" display="https://krukus-indonesia.blogspot.com/2010/11/no-name-12.html" xr:uid="{1E109F6C-FD92-4744-9515-1EE1BA025A31}"/>
    <hyperlink ref="B74" r:id="rId94" display="https://krukus-indonesia.blogspot.com/2010/11/no-name-6.html" xr:uid="{543E8909-863C-460C-886D-CB90C4A1138D}"/>
    <hyperlink ref="B75" r:id="rId95" display="https://krukus-indonesia.blogspot.com/2010/11/annular-bop.html" xr:uid="{C19F189B-88D0-4C3C-A3B0-243F6C1C36E3}"/>
    <hyperlink ref="B76" r:id="rId96" display="https://krukus-indonesia.blogspot.com/2010/11/annular-bop-set.html" xr:uid="{79F712E5-2959-4A0A-805E-241012E150AE}"/>
    <hyperlink ref="B77" r:id="rId97" display="https://krukus-indonesia.blogspot.com/2010/11/bop-flanges.html" xr:uid="{69319BA3-5851-46B4-B27A-C7A2389CD7D4}"/>
    <hyperlink ref="B78" r:id="rId98" display="https://krukus-indonesia.blogspot.com/2010/11/bop-flanges-s.html" xr:uid="{35A4E6DC-464B-42E0-B899-9472DF59C204}"/>
    <hyperlink ref="B79" r:id="rId99" display="https://krukus-indonesia.blogspot.com/2010/11/bop-set.html" xr:uid="{A6A11567-15B2-4EF6-A109-487903090F05}"/>
    <hyperlink ref="B80" r:id="rId100" display="https://krukus-indonesia.blogspot.com/2010/11/hydrils.html" xr:uid="{EA240E1E-2EA3-4EFB-944A-DE38FA292010}"/>
    <hyperlink ref="B81" r:id="rId101" display="https://krukus-indonesia.blogspot.com/2010/11/ram.html" xr:uid="{D6E406F0-F928-450D-B720-33A3DA2ADCCD}"/>
    <hyperlink ref="B82" r:id="rId102" display="https://krukus-indonesia.blogspot.com/2010/11/shaffer.html" xr:uid="{875CFF2E-F7BC-4466-8780-6366AA3003D3}"/>
    <hyperlink ref="B83" r:id="rId103" display="https://krukus-indonesia.blogspot.com/2010/11/shaffer-b.html" xr:uid="{7F33E432-9930-4E2F-8823-4CEC13BA2A51}"/>
    <hyperlink ref="B84" r:id="rId104" display="https://krukus-indonesia.blogspot.com/2010/11/shaffer-l8.html" xr:uid="{F9E0731F-84C0-434C-9A96-808B189F6310}"/>
    <hyperlink ref="B85" r:id="rId105" display="https://krukus-indonesia.blogspot.com/2010/11/shaffer-s.html" xr:uid="{B5E3A969-312D-4526-A424-1CA6FC4401CF}"/>
    <hyperlink ref="B86" r:id="rId106" display="https://krukus-indonesia.blogspot.com/2010/11/mounting.html" xr:uid="{1B2FD68D-00B3-475F-8E8B-81C99E64FE44}"/>
    <hyperlink ref="B87" r:id="rId107" display="https://krukus-indonesia.blogspot.com/2010/11/front-pic.html" xr:uid="{EAD3913B-A50D-439C-9530-44C6088EA14D}"/>
    <hyperlink ref="B88" r:id="rId108" display="https://krukus-indonesia.blogspot.com/2010/11/chain.html" xr:uid="{9A9625AE-55E3-4029-9B23-87D5D4409F1A}"/>
    <hyperlink ref="B89" r:id="rId109" display="https://krukus-indonesia.blogspot.com/2010/11/chain-2.html" xr:uid="{A75660A2-95D8-4D4D-BC4E-C5A5B3C3743C}"/>
    <hyperlink ref="B90" r:id="rId110" display="https://krukus-indonesia.blogspot.com/2010/11/dam-chain.html" xr:uid="{FC6C7EB5-4936-45BC-B67D-B42A7116409D}"/>
    <hyperlink ref="B91" r:id="rId111" display="https://krukus-indonesia.blogspot.com/2010/11/spring-single.html" xr:uid="{2A2F9E5E-11EF-401B-8D09-3FBCD74A2431}"/>
    <hyperlink ref="B92" r:id="rId112" display="https://krukus-indonesia.blogspot.com/2010/11/spring-plate.html" xr:uid="{6A188EE9-5ECD-41D6-8EEC-6E1E45C0A5FA}"/>
    <hyperlink ref="B93" r:id="rId113" display="https://krukus-indonesia.blogspot.com/2010/11/multi-spring.html" xr:uid="{A4202479-9593-4DD5-9874-FA2606CAAD1F}"/>
    <hyperlink ref="B94" r:id="rId114" display="https://krukus-indonesia.blogspot.com/2010/11/cartridge-metal-bellows.html" xr:uid="{2FA21064-56AA-4B4A-9337-37B8F92A8C19}"/>
    <hyperlink ref="B95" r:id="rId115" display="https://krukus-indonesia.blogspot.com/2010/11/catride-multi-spring.html" xr:uid="{306786C8-3743-424D-8507-CBD467CA35D4}"/>
    <hyperlink ref="AS5" r:id="rId116" display="https://krukus-indonesia.blogspot.com/2010/11/dam-chain.html" xr:uid="{75FC62CD-E3A0-43D8-A8BC-A9E49AE9252B}"/>
    <hyperlink ref="AS6" r:id="rId117" display="https://krukus-indonesia.blogspot.com/2010/11/spring-plate.html" xr:uid="{0388049A-5CC6-4BAE-8048-C8E14C17E477}"/>
    <hyperlink ref="AS7" r:id="rId118" display="https://krukus-indonesia.blogspot.com/2010/11/multi-spring.html" xr:uid="{18C20AED-4B6A-4373-8FD3-653648F4B11F}"/>
    <hyperlink ref="AS8" r:id="rId119" display="https://krukus-indonesia.blogspot.com/2010/11/cartridge-metal-bellows.html" xr:uid="{3A00DA50-E875-4E64-9E29-29208EED6443}"/>
    <hyperlink ref="AS9" r:id="rId120" display="https://krukus-indonesia.blogspot.com/2010/11/catride-multi-spring.html" xr:uid="{8294BBE0-C22C-445C-BC2D-00FB5D5DCF0F}"/>
    <hyperlink ref="AS14" r:id="rId121" display="https://krukus-indonesia.blogspot.com/2010/11/no-name-12.html" xr:uid="{44CA5FE8-F9CC-4DD7-A9B3-07337E373FDE}"/>
    <hyperlink ref="AS15" r:id="rId122" display="https://krukus-indonesia.blogspot.com/2010/11/no-name-6.html" xr:uid="{E5DA8446-46A0-49FB-BE1B-44E70198DF27}"/>
    <hyperlink ref="AS16" r:id="rId123" display="https://krukus-indonesia.blogspot.com/2010/11/annular-bop.html" xr:uid="{0F72F1BD-732A-4E8C-B8EA-FCBE57ADD39A}"/>
    <hyperlink ref="AS17" r:id="rId124" display="https://krukus-indonesia.blogspot.com/2010/11/shaffer.html" xr:uid="{4F810BD1-F03A-43BD-B47D-7FA68AF68BF4}"/>
    <hyperlink ref="AS18" r:id="rId125" display="https://krukus-indonesia.blogspot.com/2010/11/shaffer-l8.html" xr:uid="{D93DB635-3220-4D12-8ABB-6D41855A0F1B}"/>
    <hyperlink ref="AS19" r:id="rId126" display="https://krukus-indonesia.blogspot.com/2010/11/shaffer-s.html" xr:uid="{53405A43-1FE3-4A38-8F25-951667672CB2}"/>
    <hyperlink ref="AS20" r:id="rId127" display="https://krukus-indonesia.blogspot.com/2010/11/mounting.html" xr:uid="{C60A7E53-4F0B-469C-92FC-C7694A6C507C}"/>
    <hyperlink ref="AS21" r:id="rId128" display="https://krukus-indonesia.blogspot.com/2010/11/front-pic.html" xr:uid="{2883C221-F6AB-418A-967A-D0F344B85694}"/>
    <hyperlink ref="AS22" r:id="rId129" display="https://krukus-indonesia.blogspot.com/2010/11/chain-2.html" xr:uid="{CD9B31A2-8364-41D1-8639-16C0541B450E}"/>
    <hyperlink ref="AS25" r:id="rId130" display="https://krukus-indonesia.blogspot.com/2010/11/chain.html" xr:uid="{A5B40140-B73D-45BD-893D-1ACF51AB0AF8}"/>
    <hyperlink ref="AS26" r:id="rId131" display="https://krukus-indonesia.blogspot.com/2010/11/spring-single.html" xr:uid="{F7807B9D-057D-4087-97B9-5620BB1DAA95}"/>
    <hyperlink ref="AS34" r:id="rId132" display="https://krukus-indonesia.blogspot.com/2010/11/annular-bop-set.html" xr:uid="{5ED0306D-BBD0-41C8-AA5C-226F80E141F5}"/>
    <hyperlink ref="AS35" r:id="rId133" display="https://krukus-indonesia.blogspot.com/2010/11/bop-flanges.html" xr:uid="{2E0EEE15-6FE3-41F4-8923-4E53BE23BF74}"/>
    <hyperlink ref="AS36" r:id="rId134" display="https://krukus-indonesia.blogspot.com/2010/11/bop-flanges-s.html" xr:uid="{7A652AA5-1298-4837-86C5-9AA0ED81F8B7}"/>
    <hyperlink ref="AS37" r:id="rId135" display="https://krukus-indonesia.blogspot.com/2010/11/bop-set.html" xr:uid="{34AAE2D2-A4DF-4B13-9841-4101400F63A4}"/>
    <hyperlink ref="AS38" r:id="rId136" display="https://krukus-indonesia.blogspot.com/2010/11/hydrils.html" xr:uid="{BE1FA4AA-4751-4671-B457-8A0A5A2CBD02}"/>
    <hyperlink ref="AS39" r:id="rId137" display="https://krukus-indonesia.blogspot.com/2010/11/ram.html" xr:uid="{A0043E12-3818-4FAE-B970-08D2AE9FD072}"/>
    <hyperlink ref="AS40" r:id="rId138" display="https://krukus-indonesia.blogspot.com/2010/11/shaffer-b.html" xr:uid="{9E20D063-3F32-4528-9D37-38BACE4679D2}"/>
    <hyperlink ref="AZ6" r:id="rId139" display="https://krukus-indonesia.blogspot.com/2010/11/no-name-12.html" xr:uid="{D5C3681D-C18B-4805-896E-1EB19C78E5D0}"/>
    <hyperlink ref="AZ7" r:id="rId140" display="https://krukus-indonesia.blogspot.com/2010/11/no-name-6.html" xr:uid="{99AAE9A7-2B24-4633-AD88-0EF930432AC4}"/>
    <hyperlink ref="AZ8" r:id="rId141" display="https://krukus-indonesia.blogspot.com/2010/11/annular-bop.html" xr:uid="{D82AF646-9B16-48D5-8932-108EF5086221}"/>
    <hyperlink ref="AZ9" r:id="rId142" display="https://krukus-indonesia.blogspot.com/2010/11/annular-bop-set.html" xr:uid="{0A2415C1-2AFC-475B-8D44-617627647F66}"/>
    <hyperlink ref="AZ10" r:id="rId143" display="https://krukus-indonesia.blogspot.com/2010/11/bop-flanges.html" xr:uid="{7F4547A6-D14A-4C5C-96AF-1D643761D4E8}"/>
    <hyperlink ref="AZ11" r:id="rId144" display="https://krukus-indonesia.blogspot.com/2010/11/bop-flanges-s.html" xr:uid="{93B7986E-7B86-4939-BA6D-10DA4DB88EC1}"/>
    <hyperlink ref="AZ12" r:id="rId145" display="https://krukus-indonesia.blogspot.com/2010/11/bop-set.html" xr:uid="{3594ADF1-5E24-467C-9548-A166C63777FC}"/>
    <hyperlink ref="AZ13" r:id="rId146" display="https://krukus-indonesia.blogspot.com/2010/11/hydrils.html" xr:uid="{E0594C80-E3A2-4D81-940C-728BA646D28C}"/>
    <hyperlink ref="AZ14" r:id="rId147" display="https://krukus-indonesia.blogspot.com/2010/11/ram.html" xr:uid="{EF0D25F0-9B9F-47AA-AF47-42F9983A4AAC}"/>
    <hyperlink ref="AZ15" r:id="rId148" display="https://krukus-indonesia.blogspot.com/2010/11/shaffer.html" xr:uid="{C0E89FB6-9703-4023-B610-EB38E39813FE}"/>
    <hyperlink ref="AZ16" r:id="rId149" display="https://krukus-indonesia.blogspot.com/2010/11/shaffer-b.html" xr:uid="{ABF4948B-A3B5-4C74-8F61-BCBDEC8CBDA5}"/>
    <hyperlink ref="AZ17" r:id="rId150" display="https://krukus-indonesia.blogspot.com/2010/11/shaffer-l8.html" xr:uid="{D5C7B9CF-BDE4-4F65-90E0-605654D07EF2}"/>
    <hyperlink ref="AZ18" r:id="rId151" display="https://krukus-indonesia.blogspot.com/2010/11/shaffer-s.html" xr:uid="{B7A44747-6496-4DA6-B7B1-76F0AA8892BE}"/>
    <hyperlink ref="AZ19" r:id="rId152" display="https://krukus-indonesia.blogspot.com/2010/11/mounting.html" xr:uid="{D38BF33A-CFD6-4A94-8471-0FB78CB9CEB3}"/>
    <hyperlink ref="AZ20" r:id="rId153" display="https://krukus-indonesia.blogspot.com/2010/11/front-pic.html" xr:uid="{D8698AFA-CCB7-4A3C-B87F-981139A8E9C1}"/>
    <hyperlink ref="AZ21" r:id="rId154" display="https://krukus-indonesia.blogspot.com/2010/11/chain.html" xr:uid="{31161038-64A2-402A-B553-ACBFF51FCDA8}"/>
    <hyperlink ref="AZ22" r:id="rId155" display="https://krukus-indonesia.blogspot.com/2010/11/chain-2.html" xr:uid="{55A228E3-2F1F-41F2-9D2E-600005A6554A}"/>
    <hyperlink ref="AZ23" r:id="rId156" display="https://krukus-indonesia.blogspot.com/2010/11/dam-chain.html" xr:uid="{D4ED58E8-9A6C-449E-8E8C-32F577B23BC1}"/>
    <hyperlink ref="AZ24" r:id="rId157" display="https://krukus-indonesia.blogspot.com/2010/11/spring-single.html" xr:uid="{6072E10F-E938-4B22-B143-D02BEB7C8CD3}"/>
    <hyperlink ref="AZ25" r:id="rId158" display="https://krukus-indonesia.blogspot.com/2010/11/spring-plate.html" xr:uid="{B1A16AE6-316E-4240-801C-AAD9ACAB5F2B}"/>
    <hyperlink ref="AZ26" r:id="rId159" display="https://krukus-indonesia.blogspot.com/2010/11/multi-spring.html" xr:uid="{7D908F75-F9F5-4FFB-B5D7-3B6420B5637F}"/>
    <hyperlink ref="AZ27" r:id="rId160" display="https://krukus-indonesia.blogspot.com/2010/11/cartridge-metal-bellows.html" xr:uid="{204B38D2-34B0-47DB-AA14-6A03A13EBCBA}"/>
    <hyperlink ref="AZ28" r:id="rId161" display="https://krukus-indonesia.blogspot.com/2010/11/catride-multi-spring.html" xr:uid="{77DBD055-A561-41F2-A6F1-070EED2F8EAD}"/>
    <hyperlink ref="BI10" r:id="rId162" display="https://krukus-indonesia.blogspot.com/2010/11/bop-flanges-s.html" xr:uid="{15DB3B52-4D29-4352-A8A0-556BFFE99178}"/>
    <hyperlink ref="BI11" r:id="rId163" display="https://krukus-indonesia.blogspot.com/2010/11/shaffer-l8.html" xr:uid="{328D862A-DED4-450C-80F2-FFFF1ADB8F65}"/>
    <hyperlink ref="BI12" r:id="rId164" display="https://krukus-indonesia.blogspot.com/2010/11/shaffer-s.html" xr:uid="{7E28C311-C49F-45A8-8C8E-2EBC9CFF2E10}"/>
    <hyperlink ref="BI9" r:id="rId165" display="https://krukus-indonesia.blogspot.com/2010/11/chain.html" xr:uid="{6C541301-FACF-4CC0-A3BB-7395AE601BE0}"/>
    <hyperlink ref="BI6" r:id="rId166" display="https://krukus-indonesia.blogspot.com/2010/11/spring-plate.html" xr:uid="{C1600E5E-9781-4F98-AA99-56598AD23F81}"/>
    <hyperlink ref="BI7" r:id="rId167" display="https://krukus-indonesia.blogspot.com/2010/11/multi-spring.html" xr:uid="{9E534D91-34ED-4507-A2C7-073EB6D9B855}"/>
    <hyperlink ref="BI8" r:id="rId168" display="https://krukus-indonesia.blogspot.com/2010/11/cartridge-metal-bellows.html" xr:uid="{D93976B4-5703-439A-AEFE-23392D5DB12C}"/>
    <hyperlink ref="BI13" r:id="rId169" display="https://krukus-indonesia.blogspot.com/2010/11/catride-multi-spring.html" xr:uid="{4CC7F986-40BE-4B28-AFCE-18A231805E8F}"/>
    <hyperlink ref="BI19" r:id="rId170" display="https://krukus-indonesia.blogspot.com/2010/11/no-name-12.html" xr:uid="{482E2C0A-6890-4E75-A227-6991E27AC711}"/>
    <hyperlink ref="BI20" r:id="rId171" display="https://krukus-indonesia.blogspot.com/2010/11/no-name-6.html" xr:uid="{DAEB87F3-A9AD-4E37-ADD9-341CF65E577D}"/>
    <hyperlink ref="BI21" r:id="rId172" display="https://krukus-indonesia.blogspot.com/2010/11/annular-bop.html" xr:uid="{08A02434-5B75-4C41-ADC6-D057D0F908CA}"/>
    <hyperlink ref="BI22" r:id="rId173" display="https://krukus-indonesia.blogspot.com/2010/11/annular-bop-set.html" xr:uid="{6D1E73FB-296F-4A28-BD15-C52DF2A44350}"/>
    <hyperlink ref="BI23" r:id="rId174" display="https://krukus-indonesia.blogspot.com/2010/11/bop-flanges.html" xr:uid="{D5AF3E2D-F853-45D0-9620-8F88DBAC90CD}"/>
    <hyperlink ref="BI24" r:id="rId175" display="https://krukus-indonesia.blogspot.com/2010/11/bop-set.html" xr:uid="{184FD140-9A3C-4D38-AB0D-6B481AB4F295}"/>
    <hyperlink ref="BI25" r:id="rId176" display="https://krukus-indonesia.blogspot.com/2010/11/hydrils.html" xr:uid="{14921250-F2EA-4818-B4F0-2F2294052199}"/>
    <hyperlink ref="BI26" r:id="rId177" display="https://krukus-indonesia.blogspot.com/2010/11/ram.html" xr:uid="{DD8729CE-399A-49ED-B016-23BD1BE816F5}"/>
    <hyperlink ref="BI27" r:id="rId178" display="https://krukus-indonesia.blogspot.com/2010/11/shaffer.html" xr:uid="{E146BC24-5162-46E1-A0E8-5739067075B1}"/>
    <hyperlink ref="BI28" r:id="rId179" display="https://krukus-indonesia.blogspot.com/2010/11/shaffer-b.html" xr:uid="{3049B59E-4399-4BD6-9684-41A37EE3F723}"/>
    <hyperlink ref="BI29" r:id="rId180" display="https://krukus-indonesia.blogspot.com/2010/11/mounting.html" xr:uid="{B85D6DEB-AA18-4C1D-AAE7-D0FFDF4E06A7}"/>
    <hyperlink ref="BI30" r:id="rId181" display="https://krukus-indonesia.blogspot.com/2010/11/chain-2.html" xr:uid="{FF8C9A6B-9041-4814-B35D-5C7A2DEA05A7}"/>
    <hyperlink ref="BI17" r:id="rId182" display="https://krukus-indonesia.blogspot.com/2010/11/dam-chain.html" xr:uid="{3AD7753C-9FE3-4FE1-B5C1-ADB67D291AB8}"/>
    <hyperlink ref="BI18" r:id="rId183" display="https://krukus-indonesia.blogspot.com/2010/11/spring-single.html" xr:uid="{0F79A1B0-AAF6-45D5-9D7D-E5B58CBB2F86}"/>
    <hyperlink ref="BI35" r:id="rId184" display="https://krukus-indonesia.blogspot.com/2010/11/front-pic.html" xr:uid="{FF900B1C-A842-49D4-9C4B-4B49AFA0F91F}"/>
  </hyperlinks>
  <pageMargins left="0.7" right="0.7" top="0.75" bottom="0.75" header="0.3" footer="0.3"/>
  <pageSetup paperSize="9" orientation="portrait" r:id="rId18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F586F-89ED-450F-B132-3DA0EB2E9FFF}">
  <dimension ref="A1:M33"/>
  <sheetViews>
    <sheetView topLeftCell="A14" zoomScale="85" zoomScaleNormal="85" workbookViewId="0">
      <selection sqref="A1:M33"/>
    </sheetView>
  </sheetViews>
  <sheetFormatPr defaultRowHeight="14.5" x14ac:dyDescent="0.35"/>
  <cols>
    <col min="1" max="1" width="4.6328125" style="11" customWidth="1"/>
    <col min="2" max="2" width="20.453125" style="11" customWidth="1"/>
    <col min="3" max="3" width="5.1796875" style="11" customWidth="1"/>
    <col min="4" max="4" width="9.26953125" style="11" customWidth="1"/>
    <col min="5" max="5" width="19.36328125" style="11" customWidth="1"/>
    <col min="6" max="6" width="13.26953125" style="11" customWidth="1"/>
    <col min="7" max="7" width="16.6328125" style="16" customWidth="1"/>
    <col min="8" max="8" width="17.1796875" style="16" customWidth="1"/>
    <col min="9" max="9" width="14" style="16" customWidth="1"/>
    <col min="10" max="10" width="5.26953125" style="16" customWidth="1"/>
    <col min="11" max="11" width="11.54296875" style="11" customWidth="1"/>
    <col min="12" max="12" width="6.1796875" style="11" customWidth="1"/>
    <col min="13" max="13" width="7.7265625" style="11" customWidth="1"/>
    <col min="14" max="16384" width="8.7265625" style="11"/>
  </cols>
  <sheetData>
    <row r="1" spans="1:13" s="14" customFormat="1" ht="16.5" customHeight="1" x14ac:dyDescent="0.35">
      <c r="A1" s="7"/>
      <c r="B1" s="7"/>
      <c r="C1" s="12" t="s">
        <v>76</v>
      </c>
      <c r="D1" s="12" t="s">
        <v>63</v>
      </c>
      <c r="E1" s="12" t="s">
        <v>77</v>
      </c>
      <c r="F1" s="12" t="s">
        <v>78</v>
      </c>
      <c r="G1" s="13" t="s">
        <v>69</v>
      </c>
      <c r="H1" s="12" t="s">
        <v>73</v>
      </c>
      <c r="I1" s="22" t="s">
        <v>79</v>
      </c>
      <c r="J1" s="12" t="s">
        <v>54</v>
      </c>
      <c r="K1" s="12" t="s">
        <v>80</v>
      </c>
      <c r="L1" s="12" t="s">
        <v>53</v>
      </c>
      <c r="M1" s="13" t="s">
        <v>81</v>
      </c>
    </row>
    <row r="2" spans="1:13" ht="15" customHeight="1" x14ac:dyDescent="0.35">
      <c r="A2" s="7" t="s">
        <v>33</v>
      </c>
      <c r="B2" s="5" t="s">
        <v>2</v>
      </c>
      <c r="C2" s="12">
        <v>32</v>
      </c>
      <c r="D2" s="12">
        <v>9</v>
      </c>
      <c r="E2" s="32">
        <f>C2/D2</f>
        <v>3.5555555555555554</v>
      </c>
      <c r="F2" s="17">
        <v>4</v>
      </c>
      <c r="G2" s="26" t="e">
        <f>#REF!</f>
        <v>#REF!</v>
      </c>
      <c r="H2" s="28" t="e">
        <f>#REF!</f>
        <v>#REF!</v>
      </c>
      <c r="I2" s="17">
        <f>F2</f>
        <v>4</v>
      </c>
      <c r="J2" s="17" t="e">
        <f>(G2/I2)+(H2/I2)</f>
        <v>#REF!</v>
      </c>
      <c r="K2" s="17">
        <v>4</v>
      </c>
      <c r="L2" s="32" t="e">
        <f>G2/K2</f>
        <v>#REF!</v>
      </c>
      <c r="M2" s="28" t="e">
        <f>J2/L2</f>
        <v>#REF!</v>
      </c>
    </row>
    <row r="3" spans="1:13" ht="15" customHeight="1" x14ac:dyDescent="0.35">
      <c r="A3" s="7" t="s">
        <v>39</v>
      </c>
      <c r="B3" s="5" t="s">
        <v>3</v>
      </c>
      <c r="C3" s="12">
        <v>29</v>
      </c>
      <c r="D3" s="12">
        <v>8</v>
      </c>
      <c r="E3" s="32">
        <f t="shared" ref="E3:E31" si="0">C3/D3</f>
        <v>3.625</v>
      </c>
      <c r="F3" s="17">
        <v>4</v>
      </c>
      <c r="G3" s="26" t="e">
        <f>#REF!</f>
        <v>#REF!</v>
      </c>
      <c r="H3" s="28" t="e">
        <f>#REF!</f>
        <v>#REF!</v>
      </c>
      <c r="I3" s="17">
        <f t="shared" ref="I3:I31" si="1">F3</f>
        <v>4</v>
      </c>
      <c r="J3" s="17" t="e">
        <f t="shared" ref="J3:J31" si="2">(G3/I3)+(H3/I3)</f>
        <v>#REF!</v>
      </c>
      <c r="K3" s="17">
        <v>4</v>
      </c>
      <c r="L3" s="32" t="e">
        <f t="shared" ref="L3:L31" si="3">G3/K3</f>
        <v>#REF!</v>
      </c>
      <c r="M3" s="28" t="e">
        <f t="shared" ref="M3:M31" si="4">J3/L3</f>
        <v>#REF!</v>
      </c>
    </row>
    <row r="4" spans="1:13" ht="15" customHeight="1" x14ac:dyDescent="0.35">
      <c r="A4" s="7" t="s">
        <v>40</v>
      </c>
      <c r="B4" s="5" t="s">
        <v>4</v>
      </c>
      <c r="C4" s="12">
        <v>22</v>
      </c>
      <c r="D4" s="12">
        <v>6</v>
      </c>
      <c r="E4" s="32">
        <f t="shared" si="0"/>
        <v>3.6666666666666665</v>
      </c>
      <c r="F4" s="17">
        <v>4</v>
      </c>
      <c r="G4" s="26" t="e">
        <f>#REF!</f>
        <v>#REF!</v>
      </c>
      <c r="H4" s="28" t="e">
        <f>#REF!</f>
        <v>#REF!</v>
      </c>
      <c r="I4" s="17">
        <f t="shared" si="1"/>
        <v>4</v>
      </c>
      <c r="J4" s="17" t="e">
        <f t="shared" si="2"/>
        <v>#REF!</v>
      </c>
      <c r="K4" s="17">
        <v>4</v>
      </c>
      <c r="L4" s="32" t="e">
        <f t="shared" si="3"/>
        <v>#REF!</v>
      </c>
      <c r="M4" s="28" t="e">
        <f t="shared" si="4"/>
        <v>#REF!</v>
      </c>
    </row>
    <row r="5" spans="1:13" ht="15" customHeight="1" x14ac:dyDescent="0.35">
      <c r="A5" s="7" t="s">
        <v>41</v>
      </c>
      <c r="B5" s="5" t="s">
        <v>5</v>
      </c>
      <c r="C5" s="12">
        <v>33</v>
      </c>
      <c r="D5" s="12">
        <v>9</v>
      </c>
      <c r="E5" s="32">
        <f t="shared" si="0"/>
        <v>3.6666666666666665</v>
      </c>
      <c r="F5" s="17">
        <v>4</v>
      </c>
      <c r="G5" s="26" t="e">
        <f>#REF!</f>
        <v>#REF!</v>
      </c>
      <c r="H5" s="28" t="e">
        <f>#REF!</f>
        <v>#REF!</v>
      </c>
      <c r="I5" s="17">
        <f t="shared" si="1"/>
        <v>4</v>
      </c>
      <c r="J5" s="17" t="e">
        <f t="shared" si="2"/>
        <v>#REF!</v>
      </c>
      <c r="K5" s="17">
        <v>4</v>
      </c>
      <c r="L5" s="32" t="e">
        <f t="shared" si="3"/>
        <v>#REF!</v>
      </c>
      <c r="M5" s="28" t="e">
        <f t="shared" si="4"/>
        <v>#REF!</v>
      </c>
    </row>
    <row r="6" spans="1:13" ht="15" customHeight="1" x14ac:dyDescent="0.35">
      <c r="A6" s="7" t="s">
        <v>37</v>
      </c>
      <c r="B6" s="5" t="s">
        <v>6</v>
      </c>
      <c r="C6" s="12">
        <v>22</v>
      </c>
      <c r="D6" s="12">
        <v>6</v>
      </c>
      <c r="E6" s="32">
        <f t="shared" si="0"/>
        <v>3.6666666666666665</v>
      </c>
      <c r="F6" s="17">
        <v>4</v>
      </c>
      <c r="G6" s="26" t="e">
        <f>#REF!</f>
        <v>#REF!</v>
      </c>
      <c r="H6" s="28" t="e">
        <f>#REF!</f>
        <v>#REF!</v>
      </c>
      <c r="I6" s="17">
        <f t="shared" si="1"/>
        <v>4</v>
      </c>
      <c r="J6" s="17" t="e">
        <f t="shared" si="2"/>
        <v>#REF!</v>
      </c>
      <c r="K6" s="17">
        <v>4</v>
      </c>
      <c r="L6" s="32" t="e">
        <f t="shared" si="3"/>
        <v>#REF!</v>
      </c>
      <c r="M6" s="28" t="e">
        <f t="shared" si="4"/>
        <v>#REF!</v>
      </c>
    </row>
    <row r="7" spans="1:13" ht="15" customHeight="1" x14ac:dyDescent="0.35">
      <c r="A7" s="7" t="s">
        <v>42</v>
      </c>
      <c r="B7" s="5" t="s">
        <v>7</v>
      </c>
      <c r="C7" s="12">
        <v>48</v>
      </c>
      <c r="D7" s="12">
        <v>8</v>
      </c>
      <c r="E7" s="32">
        <f t="shared" si="0"/>
        <v>6</v>
      </c>
      <c r="F7" s="17">
        <v>6</v>
      </c>
      <c r="G7" s="26" t="e">
        <f>#REF!</f>
        <v>#REF!</v>
      </c>
      <c r="H7" s="28" t="e">
        <f>#REF!</f>
        <v>#REF!</v>
      </c>
      <c r="I7" s="17">
        <f t="shared" si="1"/>
        <v>6</v>
      </c>
      <c r="J7" s="17" t="e">
        <f t="shared" si="2"/>
        <v>#REF!</v>
      </c>
      <c r="K7" s="17">
        <v>4</v>
      </c>
      <c r="L7" s="32" t="e">
        <f t="shared" si="3"/>
        <v>#REF!</v>
      </c>
      <c r="M7" s="28" t="e">
        <f t="shared" si="4"/>
        <v>#REF!</v>
      </c>
    </row>
    <row r="8" spans="1:13" ht="15" customHeight="1" x14ac:dyDescent="0.35">
      <c r="A8" s="7" t="s">
        <v>43</v>
      </c>
      <c r="B8" s="5" t="s">
        <v>8</v>
      </c>
      <c r="C8" s="12">
        <v>48</v>
      </c>
      <c r="D8" s="12">
        <v>9</v>
      </c>
      <c r="E8" s="32">
        <f t="shared" si="0"/>
        <v>5.333333333333333</v>
      </c>
      <c r="F8" s="17">
        <v>5</v>
      </c>
      <c r="G8" s="26" t="e">
        <f>#REF!</f>
        <v>#REF!</v>
      </c>
      <c r="H8" s="28" t="e">
        <f>#REF!</f>
        <v>#REF!</v>
      </c>
      <c r="I8" s="17">
        <f t="shared" si="1"/>
        <v>5</v>
      </c>
      <c r="J8" s="17" t="e">
        <f t="shared" si="2"/>
        <v>#REF!</v>
      </c>
      <c r="K8" s="17">
        <v>4</v>
      </c>
      <c r="L8" s="32" t="e">
        <f t="shared" si="3"/>
        <v>#REF!</v>
      </c>
      <c r="M8" s="28" t="e">
        <f t="shared" si="4"/>
        <v>#REF!</v>
      </c>
    </row>
    <row r="9" spans="1:13" ht="15" customHeight="1" x14ac:dyDescent="0.35">
      <c r="A9" s="7" t="s">
        <v>44</v>
      </c>
      <c r="B9" s="5" t="s">
        <v>9</v>
      </c>
      <c r="C9" s="12">
        <v>31</v>
      </c>
      <c r="D9" s="12">
        <v>6</v>
      </c>
      <c r="E9" s="32">
        <f t="shared" si="0"/>
        <v>5.166666666666667</v>
      </c>
      <c r="F9" s="17">
        <v>5</v>
      </c>
      <c r="G9" s="26" t="e">
        <f>#REF!</f>
        <v>#REF!</v>
      </c>
      <c r="H9" s="28" t="e">
        <f>#REF!</f>
        <v>#REF!</v>
      </c>
      <c r="I9" s="17">
        <f t="shared" si="1"/>
        <v>5</v>
      </c>
      <c r="J9" s="17" t="e">
        <f t="shared" si="2"/>
        <v>#REF!</v>
      </c>
      <c r="K9" s="17">
        <v>4</v>
      </c>
      <c r="L9" s="32" t="e">
        <f t="shared" si="3"/>
        <v>#REF!</v>
      </c>
      <c r="M9" s="28" t="e">
        <f t="shared" si="4"/>
        <v>#REF!</v>
      </c>
    </row>
    <row r="10" spans="1:13" ht="15" customHeight="1" x14ac:dyDescent="0.35">
      <c r="A10" s="7" t="s">
        <v>34</v>
      </c>
      <c r="B10" s="5" t="s">
        <v>10</v>
      </c>
      <c r="C10" s="12">
        <v>28</v>
      </c>
      <c r="D10" s="12">
        <v>7</v>
      </c>
      <c r="E10" s="32">
        <f t="shared" si="0"/>
        <v>4</v>
      </c>
      <c r="F10" s="17">
        <v>4</v>
      </c>
      <c r="G10" s="26" t="e">
        <f>#REF!</f>
        <v>#REF!</v>
      </c>
      <c r="H10" s="28" t="e">
        <f>#REF!</f>
        <v>#REF!</v>
      </c>
      <c r="I10" s="17">
        <f t="shared" si="1"/>
        <v>4</v>
      </c>
      <c r="J10" s="17" t="e">
        <f t="shared" si="2"/>
        <v>#REF!</v>
      </c>
      <c r="K10" s="17">
        <v>4</v>
      </c>
      <c r="L10" s="32" t="e">
        <f t="shared" si="3"/>
        <v>#REF!</v>
      </c>
      <c r="M10" s="28" t="e">
        <f t="shared" si="4"/>
        <v>#REF!</v>
      </c>
    </row>
    <row r="11" spans="1:13" s="24" customFormat="1" ht="15" customHeight="1" x14ac:dyDescent="0.35">
      <c r="A11" s="20" t="s">
        <v>45</v>
      </c>
      <c r="B11" s="19" t="s">
        <v>11</v>
      </c>
      <c r="C11" s="18">
        <v>79</v>
      </c>
      <c r="D11" s="18">
        <v>15</v>
      </c>
      <c r="E11" s="36">
        <f t="shared" si="0"/>
        <v>5.2666666666666666</v>
      </c>
      <c r="F11" s="23">
        <v>5</v>
      </c>
      <c r="G11" s="27" t="e">
        <f>#REF!</f>
        <v>#REF!</v>
      </c>
      <c r="H11" s="29" t="e">
        <f>#REF!</f>
        <v>#REF!</v>
      </c>
      <c r="I11" s="23">
        <f t="shared" si="1"/>
        <v>5</v>
      </c>
      <c r="J11" s="23" t="e">
        <f t="shared" si="2"/>
        <v>#REF!</v>
      </c>
      <c r="K11" s="23">
        <v>4</v>
      </c>
      <c r="L11" s="36" t="e">
        <f t="shared" si="3"/>
        <v>#REF!</v>
      </c>
      <c r="M11" s="29" t="e">
        <f t="shared" si="4"/>
        <v>#REF!</v>
      </c>
    </row>
    <row r="12" spans="1:13" ht="15" customHeight="1" x14ac:dyDescent="0.35">
      <c r="A12" s="7" t="s">
        <v>46</v>
      </c>
      <c r="B12" s="5" t="s">
        <v>12</v>
      </c>
      <c r="C12" s="12">
        <v>41</v>
      </c>
      <c r="D12" s="12">
        <v>8</v>
      </c>
      <c r="E12" s="32">
        <f t="shared" si="0"/>
        <v>5.125</v>
      </c>
      <c r="F12" s="17">
        <v>5</v>
      </c>
      <c r="G12" s="26" t="e">
        <f>#REF!</f>
        <v>#REF!</v>
      </c>
      <c r="H12" s="28" t="e">
        <f>#REF!</f>
        <v>#REF!</v>
      </c>
      <c r="I12" s="17">
        <f t="shared" si="1"/>
        <v>5</v>
      </c>
      <c r="J12" s="17" t="e">
        <f t="shared" si="2"/>
        <v>#REF!</v>
      </c>
      <c r="K12" s="17">
        <v>4</v>
      </c>
      <c r="L12" s="32" t="e">
        <f t="shared" si="3"/>
        <v>#REF!</v>
      </c>
      <c r="M12" s="28" t="e">
        <f t="shared" si="4"/>
        <v>#REF!</v>
      </c>
    </row>
    <row r="13" spans="1:13" ht="15" customHeight="1" x14ac:dyDescent="0.35">
      <c r="A13" s="7" t="s">
        <v>47</v>
      </c>
      <c r="B13" s="5" t="s">
        <v>13</v>
      </c>
      <c r="C13" s="12">
        <v>44</v>
      </c>
      <c r="D13" s="12">
        <v>9</v>
      </c>
      <c r="E13" s="32">
        <f t="shared" si="0"/>
        <v>4.8888888888888893</v>
      </c>
      <c r="F13" s="17">
        <v>5</v>
      </c>
      <c r="G13" s="26" t="e">
        <f>#REF!</f>
        <v>#REF!</v>
      </c>
      <c r="H13" s="28" t="e">
        <f>#REF!</f>
        <v>#REF!</v>
      </c>
      <c r="I13" s="17">
        <f t="shared" si="1"/>
        <v>5</v>
      </c>
      <c r="J13" s="17" t="e">
        <f t="shared" si="2"/>
        <v>#REF!</v>
      </c>
      <c r="K13" s="17">
        <v>4</v>
      </c>
      <c r="L13" s="32" t="e">
        <f t="shared" si="3"/>
        <v>#REF!</v>
      </c>
      <c r="M13" s="28" t="e">
        <f t="shared" si="4"/>
        <v>#REF!</v>
      </c>
    </row>
    <row r="14" spans="1:13" s="24" customFormat="1" ht="15" customHeight="1" x14ac:dyDescent="0.35">
      <c r="A14" s="20" t="s">
        <v>48</v>
      </c>
      <c r="B14" s="19" t="s">
        <v>14</v>
      </c>
      <c r="C14" s="18">
        <v>80</v>
      </c>
      <c r="D14" s="18">
        <v>13</v>
      </c>
      <c r="E14" s="36">
        <f t="shared" si="0"/>
        <v>6.1538461538461542</v>
      </c>
      <c r="F14" s="23">
        <v>6</v>
      </c>
      <c r="G14" s="27" t="e">
        <f>#REF!</f>
        <v>#REF!</v>
      </c>
      <c r="H14" s="29" t="e">
        <f>#REF!</f>
        <v>#REF!</v>
      </c>
      <c r="I14" s="23">
        <f t="shared" si="1"/>
        <v>6</v>
      </c>
      <c r="J14" s="23" t="e">
        <f t="shared" si="2"/>
        <v>#REF!</v>
      </c>
      <c r="K14" s="23">
        <v>4</v>
      </c>
      <c r="L14" s="36" t="e">
        <f t="shared" si="3"/>
        <v>#REF!</v>
      </c>
      <c r="M14" s="29" t="e">
        <f t="shared" si="4"/>
        <v>#REF!</v>
      </c>
    </row>
    <row r="15" spans="1:13" ht="15" customHeight="1" x14ac:dyDescent="0.35">
      <c r="A15" s="7" t="s">
        <v>49</v>
      </c>
      <c r="B15" s="5" t="s">
        <v>15</v>
      </c>
      <c r="C15" s="12">
        <v>33</v>
      </c>
      <c r="D15" s="12">
        <v>9</v>
      </c>
      <c r="E15" s="32">
        <f t="shared" si="0"/>
        <v>3.6666666666666665</v>
      </c>
      <c r="F15" s="17">
        <v>4</v>
      </c>
      <c r="G15" s="26" t="e">
        <f>#REF!</f>
        <v>#REF!</v>
      </c>
      <c r="H15" s="28" t="e">
        <f>#REF!</f>
        <v>#REF!</v>
      </c>
      <c r="I15" s="17">
        <f t="shared" si="1"/>
        <v>4</v>
      </c>
      <c r="J15" s="17" t="e">
        <f t="shared" si="2"/>
        <v>#REF!</v>
      </c>
      <c r="K15" s="17">
        <v>4</v>
      </c>
      <c r="L15" s="32" t="e">
        <f t="shared" si="3"/>
        <v>#REF!</v>
      </c>
      <c r="M15" s="28" t="e">
        <f t="shared" si="4"/>
        <v>#REF!</v>
      </c>
    </row>
    <row r="16" spans="1:13" ht="15" customHeight="1" x14ac:dyDescent="0.35">
      <c r="A16" s="7" t="s">
        <v>35</v>
      </c>
      <c r="B16" s="5" t="s">
        <v>16</v>
      </c>
      <c r="C16" s="12">
        <v>31</v>
      </c>
      <c r="D16" s="12">
        <v>9</v>
      </c>
      <c r="E16" s="32">
        <f t="shared" si="0"/>
        <v>3.4444444444444446</v>
      </c>
      <c r="F16" s="17">
        <v>3</v>
      </c>
      <c r="G16" s="26" t="e">
        <f>#REF!</f>
        <v>#REF!</v>
      </c>
      <c r="H16" s="28" t="e">
        <f>#REF!</f>
        <v>#REF!</v>
      </c>
      <c r="I16" s="17">
        <f t="shared" si="1"/>
        <v>3</v>
      </c>
      <c r="J16" s="17" t="e">
        <f t="shared" si="2"/>
        <v>#REF!</v>
      </c>
      <c r="K16" s="17">
        <v>4</v>
      </c>
      <c r="L16" s="32" t="e">
        <f t="shared" si="3"/>
        <v>#REF!</v>
      </c>
      <c r="M16" s="28" t="e">
        <f t="shared" si="4"/>
        <v>#REF!</v>
      </c>
    </row>
    <row r="17" spans="1:13" ht="15" customHeight="1" x14ac:dyDescent="0.35">
      <c r="A17" s="7" t="s">
        <v>50</v>
      </c>
      <c r="B17" s="5" t="s">
        <v>17</v>
      </c>
      <c r="C17" s="12">
        <v>47</v>
      </c>
      <c r="D17" s="12">
        <v>9</v>
      </c>
      <c r="E17" s="32">
        <f t="shared" si="0"/>
        <v>5.2222222222222223</v>
      </c>
      <c r="F17" s="17">
        <v>5</v>
      </c>
      <c r="G17" s="26" t="e">
        <f>#REF!</f>
        <v>#REF!</v>
      </c>
      <c r="H17" s="28" t="e">
        <f>#REF!</f>
        <v>#REF!</v>
      </c>
      <c r="I17" s="17">
        <f t="shared" si="1"/>
        <v>5</v>
      </c>
      <c r="J17" s="17" t="e">
        <f t="shared" si="2"/>
        <v>#REF!</v>
      </c>
      <c r="K17" s="17">
        <v>4</v>
      </c>
      <c r="L17" s="32" t="e">
        <f t="shared" si="3"/>
        <v>#REF!</v>
      </c>
      <c r="M17" s="28" t="e">
        <f t="shared" si="4"/>
        <v>#REF!</v>
      </c>
    </row>
    <row r="18" spans="1:13" s="24" customFormat="1" ht="15" customHeight="1" x14ac:dyDescent="0.35">
      <c r="A18" s="20" t="s">
        <v>51</v>
      </c>
      <c r="B18" s="19" t="s">
        <v>18</v>
      </c>
      <c r="C18" s="18">
        <v>97</v>
      </c>
      <c r="D18" s="18">
        <v>18</v>
      </c>
      <c r="E18" s="36">
        <f t="shared" si="0"/>
        <v>5.3888888888888893</v>
      </c>
      <c r="F18" s="23">
        <v>5</v>
      </c>
      <c r="G18" s="27" t="e">
        <f>#REF!</f>
        <v>#REF!</v>
      </c>
      <c r="H18" s="29" t="e">
        <f>#REF!</f>
        <v>#REF!</v>
      </c>
      <c r="I18" s="23">
        <f t="shared" si="1"/>
        <v>5</v>
      </c>
      <c r="J18" s="23" t="e">
        <f t="shared" si="2"/>
        <v>#REF!</v>
      </c>
      <c r="K18" s="23">
        <v>4</v>
      </c>
      <c r="L18" s="36" t="e">
        <f t="shared" si="3"/>
        <v>#REF!</v>
      </c>
      <c r="M18" s="29" t="e">
        <f t="shared" si="4"/>
        <v>#REF!</v>
      </c>
    </row>
    <row r="19" spans="1:13" s="24" customFormat="1" ht="15" customHeight="1" x14ac:dyDescent="0.35">
      <c r="A19" s="20" t="s">
        <v>52</v>
      </c>
      <c r="B19" s="19" t="s">
        <v>19</v>
      </c>
      <c r="C19" s="18">
        <v>91</v>
      </c>
      <c r="D19" s="18">
        <v>17</v>
      </c>
      <c r="E19" s="36">
        <f t="shared" si="0"/>
        <v>5.3529411764705879</v>
      </c>
      <c r="F19" s="23">
        <v>5</v>
      </c>
      <c r="G19" s="27" t="e">
        <f>#REF!</f>
        <v>#REF!</v>
      </c>
      <c r="H19" s="29" t="e">
        <f>#REF!</f>
        <v>#REF!</v>
      </c>
      <c r="I19" s="23">
        <f t="shared" si="1"/>
        <v>5</v>
      </c>
      <c r="J19" s="23" t="e">
        <f t="shared" si="2"/>
        <v>#REF!</v>
      </c>
      <c r="K19" s="23">
        <v>4</v>
      </c>
      <c r="L19" s="36" t="e">
        <f t="shared" si="3"/>
        <v>#REF!</v>
      </c>
      <c r="M19" s="29" t="e">
        <f t="shared" si="4"/>
        <v>#REF!</v>
      </c>
    </row>
    <row r="20" spans="1:13" ht="15" customHeight="1" x14ac:dyDescent="0.35">
      <c r="A20" s="7" t="s">
        <v>53</v>
      </c>
      <c r="B20" s="5" t="s">
        <v>20</v>
      </c>
      <c r="C20" s="12">
        <v>29</v>
      </c>
      <c r="D20" s="12">
        <v>6</v>
      </c>
      <c r="E20" s="32">
        <f t="shared" si="0"/>
        <v>4.833333333333333</v>
      </c>
      <c r="F20" s="17">
        <v>5</v>
      </c>
      <c r="G20" s="26" t="e">
        <f>#REF!</f>
        <v>#REF!</v>
      </c>
      <c r="H20" s="28" t="e">
        <f>#REF!</f>
        <v>#REF!</v>
      </c>
      <c r="I20" s="17">
        <f t="shared" si="1"/>
        <v>5</v>
      </c>
      <c r="J20" s="17" t="e">
        <f t="shared" si="2"/>
        <v>#REF!</v>
      </c>
      <c r="K20" s="17">
        <v>4</v>
      </c>
      <c r="L20" s="32" t="e">
        <f t="shared" si="3"/>
        <v>#REF!</v>
      </c>
      <c r="M20" s="28" t="e">
        <f t="shared" si="4"/>
        <v>#REF!</v>
      </c>
    </row>
    <row r="21" spans="1:13" s="24" customFormat="1" ht="15" customHeight="1" x14ac:dyDescent="0.35">
      <c r="A21" s="20" t="s">
        <v>54</v>
      </c>
      <c r="B21" s="19" t="s">
        <v>21</v>
      </c>
      <c r="C21" s="18">
        <v>88</v>
      </c>
      <c r="D21" s="18">
        <v>16</v>
      </c>
      <c r="E21" s="36">
        <f t="shared" si="0"/>
        <v>5.5</v>
      </c>
      <c r="F21" s="23">
        <v>6</v>
      </c>
      <c r="G21" s="27" t="e">
        <f>#REF!</f>
        <v>#REF!</v>
      </c>
      <c r="H21" s="29" t="e">
        <f>#REF!</f>
        <v>#REF!</v>
      </c>
      <c r="I21" s="23">
        <f t="shared" si="1"/>
        <v>6</v>
      </c>
      <c r="J21" s="23" t="e">
        <f t="shared" si="2"/>
        <v>#REF!</v>
      </c>
      <c r="K21" s="23">
        <v>4</v>
      </c>
      <c r="L21" s="36" t="e">
        <f t="shared" si="3"/>
        <v>#REF!</v>
      </c>
      <c r="M21" s="29" t="e">
        <f t="shared" si="4"/>
        <v>#REF!</v>
      </c>
    </row>
    <row r="22" spans="1:13" ht="15" customHeight="1" x14ac:dyDescent="0.35">
      <c r="A22" s="7" t="s">
        <v>36</v>
      </c>
      <c r="B22" s="5" t="s">
        <v>22</v>
      </c>
      <c r="C22" s="12">
        <v>37</v>
      </c>
      <c r="D22" s="12">
        <v>8</v>
      </c>
      <c r="E22" s="32">
        <f t="shared" si="0"/>
        <v>4.625</v>
      </c>
      <c r="F22" s="17">
        <v>5</v>
      </c>
      <c r="G22" s="26" t="e">
        <f>#REF!</f>
        <v>#REF!</v>
      </c>
      <c r="H22" s="28" t="e">
        <f>#REF!</f>
        <v>#REF!</v>
      </c>
      <c r="I22" s="17">
        <f t="shared" si="1"/>
        <v>5</v>
      </c>
      <c r="J22" s="17" t="e">
        <f t="shared" si="2"/>
        <v>#REF!</v>
      </c>
      <c r="K22" s="17">
        <v>4</v>
      </c>
      <c r="L22" s="32" t="e">
        <f t="shared" si="3"/>
        <v>#REF!</v>
      </c>
      <c r="M22" s="28" t="e">
        <f t="shared" si="4"/>
        <v>#REF!</v>
      </c>
    </row>
    <row r="23" spans="1:13" s="24" customFormat="1" ht="15" customHeight="1" x14ac:dyDescent="0.35">
      <c r="A23" s="20" t="s">
        <v>55</v>
      </c>
      <c r="B23" s="19" t="s">
        <v>23</v>
      </c>
      <c r="C23" s="20">
        <v>102</v>
      </c>
      <c r="D23" s="20">
        <v>18</v>
      </c>
      <c r="E23" s="36">
        <f>C23/D23</f>
        <v>5.666666666666667</v>
      </c>
      <c r="F23" s="23">
        <v>6</v>
      </c>
      <c r="G23" s="27" t="e">
        <f>#REF!</f>
        <v>#REF!</v>
      </c>
      <c r="H23" s="29" t="e">
        <f>#REF!</f>
        <v>#REF!</v>
      </c>
      <c r="I23" s="23">
        <f>F23</f>
        <v>6</v>
      </c>
      <c r="J23" s="23" t="e">
        <f t="shared" si="2"/>
        <v>#REF!</v>
      </c>
      <c r="K23" s="23">
        <v>4</v>
      </c>
      <c r="L23" s="36" t="e">
        <f>G23/K23</f>
        <v>#REF!</v>
      </c>
      <c r="M23" s="29" t="e">
        <f t="shared" si="4"/>
        <v>#REF!</v>
      </c>
    </row>
    <row r="24" spans="1:13" s="24" customFormat="1" ht="15" customHeight="1" x14ac:dyDescent="0.35">
      <c r="A24" s="20" t="s">
        <v>56</v>
      </c>
      <c r="B24" s="19" t="s">
        <v>24</v>
      </c>
      <c r="C24" s="20">
        <v>98</v>
      </c>
      <c r="D24" s="20">
        <v>17</v>
      </c>
      <c r="E24" s="36">
        <f t="shared" si="0"/>
        <v>5.7647058823529411</v>
      </c>
      <c r="F24" s="23">
        <v>6</v>
      </c>
      <c r="G24" s="27" t="e">
        <f>#REF!</f>
        <v>#REF!</v>
      </c>
      <c r="H24" s="29" t="e">
        <f>#REF!</f>
        <v>#REF!</v>
      </c>
      <c r="I24" s="23">
        <f t="shared" si="1"/>
        <v>6</v>
      </c>
      <c r="J24" s="23" t="e">
        <f t="shared" si="2"/>
        <v>#REF!</v>
      </c>
      <c r="K24" s="23">
        <v>4</v>
      </c>
      <c r="L24" s="36" t="e">
        <f t="shared" si="3"/>
        <v>#REF!</v>
      </c>
      <c r="M24" s="29" t="e">
        <f t="shared" si="4"/>
        <v>#REF!</v>
      </c>
    </row>
    <row r="25" spans="1:13" s="24" customFormat="1" ht="15" customHeight="1" x14ac:dyDescent="0.35">
      <c r="A25" s="20" t="s">
        <v>38</v>
      </c>
      <c r="B25" s="21" t="s">
        <v>25</v>
      </c>
      <c r="C25" s="20">
        <v>123</v>
      </c>
      <c r="D25" s="20">
        <v>19</v>
      </c>
      <c r="E25" s="36">
        <f t="shared" si="0"/>
        <v>6.4736842105263159</v>
      </c>
      <c r="F25" s="23">
        <v>7</v>
      </c>
      <c r="G25" s="27" t="e">
        <f>#REF!</f>
        <v>#REF!</v>
      </c>
      <c r="H25" s="29" t="e">
        <f>#REF!</f>
        <v>#REF!</v>
      </c>
      <c r="I25" s="23">
        <f t="shared" si="1"/>
        <v>7</v>
      </c>
      <c r="J25" s="23" t="e">
        <f t="shared" si="2"/>
        <v>#REF!</v>
      </c>
      <c r="K25" s="23">
        <v>4</v>
      </c>
      <c r="L25" s="36" t="e">
        <f t="shared" si="3"/>
        <v>#REF!</v>
      </c>
      <c r="M25" s="29" t="e">
        <f t="shared" si="4"/>
        <v>#REF!</v>
      </c>
    </row>
    <row r="26" spans="1:13" s="24" customFormat="1" ht="15" customHeight="1" x14ac:dyDescent="0.35">
      <c r="A26" s="20" t="s">
        <v>57</v>
      </c>
      <c r="B26" s="21" t="s">
        <v>26</v>
      </c>
      <c r="C26" s="20">
        <v>85</v>
      </c>
      <c r="D26" s="20">
        <v>15</v>
      </c>
      <c r="E26" s="36">
        <f t="shared" si="0"/>
        <v>5.666666666666667</v>
      </c>
      <c r="F26" s="23">
        <v>6</v>
      </c>
      <c r="G26" s="27" t="e">
        <f>#REF!</f>
        <v>#REF!</v>
      </c>
      <c r="H26" s="29" t="e">
        <f>#REF!</f>
        <v>#REF!</v>
      </c>
      <c r="I26" s="23">
        <f t="shared" si="1"/>
        <v>6</v>
      </c>
      <c r="J26" s="23" t="e">
        <f t="shared" si="2"/>
        <v>#REF!</v>
      </c>
      <c r="K26" s="23">
        <v>4</v>
      </c>
      <c r="L26" s="36" t="e">
        <f t="shared" si="3"/>
        <v>#REF!</v>
      </c>
      <c r="M26" s="29" t="e">
        <f t="shared" si="4"/>
        <v>#REF!</v>
      </c>
    </row>
    <row r="27" spans="1:13" s="24" customFormat="1" ht="15" customHeight="1" x14ac:dyDescent="0.35">
      <c r="A27" s="20" t="s">
        <v>58</v>
      </c>
      <c r="B27" s="21" t="s">
        <v>27</v>
      </c>
      <c r="C27" s="20">
        <v>99</v>
      </c>
      <c r="D27" s="20">
        <v>16</v>
      </c>
      <c r="E27" s="36">
        <f t="shared" si="0"/>
        <v>6.1875</v>
      </c>
      <c r="F27" s="23">
        <v>6</v>
      </c>
      <c r="G27" s="27" t="e">
        <f>#REF!</f>
        <v>#REF!</v>
      </c>
      <c r="H27" s="29" t="e">
        <f>#REF!</f>
        <v>#REF!</v>
      </c>
      <c r="I27" s="23">
        <f t="shared" si="1"/>
        <v>6</v>
      </c>
      <c r="J27" s="23" t="e">
        <f t="shared" si="2"/>
        <v>#REF!</v>
      </c>
      <c r="K27" s="23">
        <v>4</v>
      </c>
      <c r="L27" s="36" t="e">
        <f t="shared" si="3"/>
        <v>#REF!</v>
      </c>
      <c r="M27" s="29" t="e">
        <f t="shared" si="4"/>
        <v>#REF!</v>
      </c>
    </row>
    <row r="28" spans="1:13" ht="15" customHeight="1" x14ac:dyDescent="0.35">
      <c r="A28" s="7" t="s">
        <v>59</v>
      </c>
      <c r="B28" s="6" t="s">
        <v>28</v>
      </c>
      <c r="C28" s="7">
        <v>35</v>
      </c>
      <c r="D28" s="7">
        <v>9</v>
      </c>
      <c r="E28" s="32">
        <f t="shared" si="0"/>
        <v>3.8888888888888888</v>
      </c>
      <c r="F28" s="17">
        <v>4</v>
      </c>
      <c r="G28" s="26" t="e">
        <f>#REF!</f>
        <v>#REF!</v>
      </c>
      <c r="H28" s="28" t="e">
        <f>#REF!</f>
        <v>#REF!</v>
      </c>
      <c r="I28" s="17">
        <f t="shared" si="1"/>
        <v>4</v>
      </c>
      <c r="J28" s="17" t="e">
        <f t="shared" si="2"/>
        <v>#REF!</v>
      </c>
      <c r="K28" s="17">
        <v>4</v>
      </c>
      <c r="L28" s="32" t="e">
        <f t="shared" si="3"/>
        <v>#REF!</v>
      </c>
      <c r="M28" s="28" t="e">
        <f t="shared" si="4"/>
        <v>#REF!</v>
      </c>
    </row>
    <row r="29" spans="1:13" ht="15" customHeight="1" x14ac:dyDescent="0.35">
      <c r="A29" s="7" t="s">
        <v>60</v>
      </c>
      <c r="B29" s="6" t="s">
        <v>29</v>
      </c>
      <c r="C29" s="7">
        <v>40</v>
      </c>
      <c r="D29" s="7">
        <v>8</v>
      </c>
      <c r="E29" s="32">
        <f t="shared" si="0"/>
        <v>5</v>
      </c>
      <c r="F29" s="17">
        <v>5</v>
      </c>
      <c r="G29" s="26" t="e">
        <f>#REF!</f>
        <v>#REF!</v>
      </c>
      <c r="H29" s="28" t="e">
        <f>#REF!</f>
        <v>#REF!</v>
      </c>
      <c r="I29" s="17">
        <f t="shared" si="1"/>
        <v>5</v>
      </c>
      <c r="J29" s="17" t="e">
        <f t="shared" si="2"/>
        <v>#REF!</v>
      </c>
      <c r="K29" s="17">
        <v>4</v>
      </c>
      <c r="L29" s="32" t="e">
        <f t="shared" si="3"/>
        <v>#REF!</v>
      </c>
      <c r="M29" s="28" t="e">
        <f t="shared" si="4"/>
        <v>#REF!</v>
      </c>
    </row>
    <row r="30" spans="1:13" ht="15" customHeight="1" x14ac:dyDescent="0.35">
      <c r="A30" s="7" t="s">
        <v>61</v>
      </c>
      <c r="B30" s="6" t="s">
        <v>30</v>
      </c>
      <c r="C30" s="7">
        <v>36</v>
      </c>
      <c r="D30" s="7">
        <v>9</v>
      </c>
      <c r="E30" s="32">
        <f t="shared" si="0"/>
        <v>4</v>
      </c>
      <c r="F30" s="17">
        <v>4</v>
      </c>
      <c r="G30" s="26" t="e">
        <f>#REF!</f>
        <v>#REF!</v>
      </c>
      <c r="H30" s="28" t="e">
        <f>#REF!</f>
        <v>#REF!</v>
      </c>
      <c r="I30" s="17">
        <f t="shared" si="1"/>
        <v>4</v>
      </c>
      <c r="J30" s="17" t="e">
        <f t="shared" si="2"/>
        <v>#REF!</v>
      </c>
      <c r="K30" s="17">
        <v>4</v>
      </c>
      <c r="L30" s="32" t="e">
        <f t="shared" si="3"/>
        <v>#REF!</v>
      </c>
      <c r="M30" s="28" t="e">
        <f t="shared" si="4"/>
        <v>#REF!</v>
      </c>
    </row>
    <row r="31" spans="1:13" ht="15" customHeight="1" x14ac:dyDescent="0.35">
      <c r="A31" s="7" t="s">
        <v>62</v>
      </c>
      <c r="B31" s="6" t="s">
        <v>31</v>
      </c>
      <c r="C31" s="7">
        <v>43</v>
      </c>
      <c r="D31" s="7">
        <v>9</v>
      </c>
      <c r="E31" s="32">
        <f t="shared" si="0"/>
        <v>4.7777777777777777</v>
      </c>
      <c r="F31" s="17">
        <v>5</v>
      </c>
      <c r="G31" s="26" t="e">
        <f>#REF!</f>
        <v>#REF!</v>
      </c>
      <c r="H31" s="28" t="e">
        <f>#REF!</f>
        <v>#REF!</v>
      </c>
      <c r="I31" s="17">
        <f t="shared" si="1"/>
        <v>5</v>
      </c>
      <c r="J31" s="17" t="e">
        <f t="shared" si="2"/>
        <v>#REF!</v>
      </c>
      <c r="K31" s="17">
        <v>4</v>
      </c>
      <c r="L31" s="32" t="e">
        <f t="shared" si="3"/>
        <v>#REF!</v>
      </c>
      <c r="M31" s="28" t="e">
        <f t="shared" si="4"/>
        <v>#REF!</v>
      </c>
    </row>
    <row r="32" spans="1:13" x14ac:dyDescent="0.35">
      <c r="A32" s="15"/>
      <c r="B32" s="15" t="s">
        <v>82</v>
      </c>
      <c r="C32" s="33">
        <f>SUM(C2:C31)</f>
        <v>1651</v>
      </c>
      <c r="D32" s="33">
        <f t="shared" ref="D32" si="5">SUM(D2:D31)</f>
        <v>325</v>
      </c>
      <c r="E32" s="34">
        <f t="shared" ref="E32:M32" si="6">SUM(E2:E31)</f>
        <v>145.57434408986268</v>
      </c>
      <c r="F32" s="34">
        <f t="shared" si="6"/>
        <v>148</v>
      </c>
      <c r="G32" s="35" t="e">
        <f t="shared" si="6"/>
        <v>#REF!</v>
      </c>
      <c r="H32" s="35" t="e">
        <f t="shared" si="6"/>
        <v>#REF!</v>
      </c>
      <c r="I32" s="35">
        <f t="shared" si="6"/>
        <v>148</v>
      </c>
      <c r="J32" s="35" t="e">
        <f t="shared" si="6"/>
        <v>#REF!</v>
      </c>
      <c r="K32" s="34">
        <f t="shared" si="6"/>
        <v>120</v>
      </c>
      <c r="L32" s="34" t="e">
        <f t="shared" si="6"/>
        <v>#REF!</v>
      </c>
      <c r="M32" s="34" t="e">
        <f t="shared" si="6"/>
        <v>#REF!</v>
      </c>
    </row>
    <row r="33" spans="1:13" x14ac:dyDescent="0.35">
      <c r="A33" s="15"/>
      <c r="B33" s="15" t="s">
        <v>75</v>
      </c>
      <c r="C33" s="33">
        <f>C32/30</f>
        <v>55.033333333333331</v>
      </c>
      <c r="D33" s="33">
        <f t="shared" ref="D33" si="7">D32/30</f>
        <v>10.833333333333334</v>
      </c>
      <c r="E33" s="34">
        <f t="shared" ref="E33:M33" si="8">E32/30</f>
        <v>4.8524781363287559</v>
      </c>
      <c r="F33" s="34">
        <f t="shared" si="8"/>
        <v>4.9333333333333336</v>
      </c>
      <c r="G33" s="34" t="e">
        <f t="shared" si="8"/>
        <v>#REF!</v>
      </c>
      <c r="H33" s="34" t="e">
        <f t="shared" si="8"/>
        <v>#REF!</v>
      </c>
      <c r="I33" s="34">
        <f t="shared" si="8"/>
        <v>4.9333333333333336</v>
      </c>
      <c r="J33" s="34" t="e">
        <f t="shared" si="8"/>
        <v>#REF!</v>
      </c>
      <c r="K33" s="34">
        <f t="shared" si="8"/>
        <v>4</v>
      </c>
      <c r="L33" s="34" t="e">
        <f t="shared" si="8"/>
        <v>#REF!</v>
      </c>
      <c r="M33" s="34" t="e">
        <f t="shared" si="8"/>
        <v>#REF!</v>
      </c>
    </row>
  </sheetData>
  <hyperlinks>
    <hyperlink ref="B2" r:id="rId1" display="https://krukus-indonesia.blogspot.com/2010/11/no-name-12.html" xr:uid="{2648BCA4-3B81-4AA6-A6B0-7A34F46E03EF}"/>
    <hyperlink ref="B3" r:id="rId2" display="https://krukus-indonesia.blogspot.com/2010/11/no-name-6.html" xr:uid="{9D5BBA8F-C344-467A-8499-C329A0B00468}"/>
    <hyperlink ref="B4" r:id="rId3" display="https://krukus-indonesia.blogspot.com/2010/11/annular-bop.html" xr:uid="{49792EB9-2353-4F8E-94F4-AC10C4E0A38B}"/>
    <hyperlink ref="B5" r:id="rId4" display="https://krukus-indonesia.blogspot.com/2010/11/annular-bop-set.html" xr:uid="{C4151562-7A91-4E41-9D82-77D81D892E1E}"/>
    <hyperlink ref="B6" r:id="rId5" display="https://krukus-indonesia.blogspot.com/2010/11/bop-flanges.html" xr:uid="{B2DC60A0-9F7A-4DAD-A10D-7062CE400B49}"/>
    <hyperlink ref="B7" r:id="rId6" display="https://krukus-indonesia.blogspot.com/2010/11/bop-flanges-s.html" xr:uid="{F39B9A08-F3FF-4CD1-971A-013870EC7302}"/>
    <hyperlink ref="B8" r:id="rId7" display="https://krukus-indonesia.blogspot.com/2010/11/bop-set.html" xr:uid="{4FE9AD81-4FBE-4098-AB8B-655BDE226F15}"/>
    <hyperlink ref="B9" r:id="rId8" display="https://krukus-indonesia.blogspot.com/2010/11/hydrils.html" xr:uid="{B5836148-D60E-4744-8CC1-5C1F8EC4E1BA}"/>
    <hyperlink ref="B10" r:id="rId9" display="https://krukus-indonesia.blogspot.com/2010/11/ram.html" xr:uid="{0027A2ED-B0A4-4452-BC93-4FA2545475DE}"/>
    <hyperlink ref="B11" r:id="rId10" display="https://krukus-indonesia.blogspot.com/2010/11/shaffer.html" xr:uid="{4C967ED3-0CF1-41EE-9299-1525FE105780}"/>
    <hyperlink ref="B12" r:id="rId11" display="https://krukus-indonesia.blogspot.com/2010/11/shaffer-b.html" xr:uid="{F4035CCF-C928-4A91-A647-88FAFB3968AD}"/>
    <hyperlink ref="B13" r:id="rId12" display="https://krukus-indonesia.blogspot.com/2010/11/shaffer-l8.html" xr:uid="{64B1D320-23CD-43E2-8178-8CE7997B5B03}"/>
    <hyperlink ref="B14" r:id="rId13" display="https://krukus-indonesia.blogspot.com/2010/11/shaffer-s.html" xr:uid="{CA12D82B-5B16-42C2-BC49-FBCC7848C8B9}"/>
    <hyperlink ref="B15" r:id="rId14" display="https://krukus-indonesia.blogspot.com/2010/11/mounting.html" xr:uid="{95C4B275-F85E-4DD9-8A38-D240FF7FE9E7}"/>
    <hyperlink ref="B16" r:id="rId15" display="https://krukus-indonesia.blogspot.com/2010/11/front-pic.html" xr:uid="{F0041D7A-B141-492F-B900-696FE1D9C6F3}"/>
    <hyperlink ref="B17" r:id="rId16" display="https://krukus-indonesia.blogspot.com/2010/11/chain.html" xr:uid="{4814B15A-DA98-434B-BCF1-37D83EE338DD}"/>
    <hyperlink ref="B18" r:id="rId17" display="https://krukus-indonesia.blogspot.com/2010/11/chain-2.html" xr:uid="{960EFF00-28FB-4A36-B0D1-8B9FD163E846}"/>
    <hyperlink ref="B19" r:id="rId18" display="https://krukus-indonesia.blogspot.com/2010/11/dam-chain.html" xr:uid="{E286AD28-3135-4B1A-8442-67F87E709FDE}"/>
    <hyperlink ref="B20" r:id="rId19" display="https://krukus-indonesia.blogspot.com/2010/11/spring-single.html" xr:uid="{27B357A4-8BDE-44F5-B852-8EDCBE9CAFF2}"/>
    <hyperlink ref="B21" r:id="rId20" display="https://krukus-indonesia.blogspot.com/2010/11/spring-plate.html" xr:uid="{41ED2134-D31A-40E4-B119-CE8568DB055A}"/>
    <hyperlink ref="B22" r:id="rId21" display="https://krukus-indonesia.blogspot.com/2010/11/multi-spring.html" xr:uid="{B3915B84-083E-4DDA-B90C-25CED97A64D5}"/>
    <hyperlink ref="B23" r:id="rId22" display="https://krukus-indonesia.blogspot.com/2010/11/cartridge-metal-bellows.html" xr:uid="{A2A39CCA-154D-44FF-92C7-7542F7F90603}"/>
    <hyperlink ref="B24" r:id="rId23" display="https://krukus-indonesia.blogspot.com/2010/11/catride-multi-spring.html" xr:uid="{D3A6621E-DDA3-4EB3-BC38-B269AD7AB625}"/>
  </hyperlinks>
  <pageMargins left="0.7" right="0.7" top="0.75" bottom="0.75" header="0.3" footer="0.3"/>
  <pageSetup paperSize="9" orientation="portrait" r:id="rId2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AD495-C9FC-448A-853D-3670810A362F}">
  <dimension ref="B1:Q36"/>
  <sheetViews>
    <sheetView topLeftCell="A2" zoomScale="70" zoomScaleNormal="70" workbookViewId="0">
      <selection activeCell="B2" sqref="B2:Q33"/>
    </sheetView>
  </sheetViews>
  <sheetFormatPr defaultRowHeight="14.5" x14ac:dyDescent="0.35"/>
  <cols>
    <col min="2" max="2" width="6.453125" customWidth="1"/>
    <col min="3" max="3" width="19.54296875" customWidth="1"/>
    <col min="4" max="4" width="7" customWidth="1"/>
    <col min="5" max="5" width="7.36328125" customWidth="1"/>
    <col min="6" max="6" width="5.36328125" customWidth="1"/>
    <col min="7" max="8" width="11.36328125" customWidth="1"/>
    <col min="12" max="12" width="22.6328125" customWidth="1"/>
    <col min="13" max="15" width="8.7265625" customWidth="1"/>
    <col min="16" max="17" width="12" customWidth="1"/>
  </cols>
  <sheetData>
    <row r="1" spans="2:17" ht="15" thickBot="1" x14ac:dyDescent="0.4"/>
    <row r="2" spans="2:17" s="10" customFormat="1" ht="29" customHeight="1" thickBot="1" x14ac:dyDescent="0.35">
      <c r="B2" s="39" t="s">
        <v>83</v>
      </c>
      <c r="C2" s="39" t="s">
        <v>88</v>
      </c>
      <c r="D2" s="40" t="s">
        <v>84</v>
      </c>
      <c r="E2" s="40" t="s">
        <v>85</v>
      </c>
      <c r="F2" s="40" t="s">
        <v>81</v>
      </c>
      <c r="G2" s="40" t="s">
        <v>86</v>
      </c>
      <c r="H2" s="40" t="s">
        <v>87</v>
      </c>
      <c r="K2" s="39" t="s">
        <v>83</v>
      </c>
      <c r="L2" s="39" t="s">
        <v>88</v>
      </c>
      <c r="M2" s="40" t="s">
        <v>84</v>
      </c>
      <c r="N2" s="40" t="s">
        <v>85</v>
      </c>
      <c r="O2" s="40" t="s">
        <v>81</v>
      </c>
      <c r="P2" s="40" t="s">
        <v>86</v>
      </c>
      <c r="Q2" s="40" t="s">
        <v>87</v>
      </c>
    </row>
    <row r="3" spans="2:17" s="10" customFormat="1" ht="14.5" customHeight="1" x14ac:dyDescent="0.3">
      <c r="B3" s="41" t="s">
        <v>33</v>
      </c>
      <c r="C3" s="42" t="s">
        <v>2</v>
      </c>
      <c r="D3" s="45">
        <f>(1/2)+(100/15)</f>
        <v>7.166666666666667</v>
      </c>
      <c r="E3" s="50">
        <f>(1/2)+(100/15)</f>
        <v>7.166666666666667</v>
      </c>
      <c r="F3" s="38">
        <v>2</v>
      </c>
      <c r="G3" s="45">
        <f>D3*F3</f>
        <v>14.333333333333334</v>
      </c>
      <c r="H3" s="45">
        <f>E3*F3</f>
        <v>14.333333333333334</v>
      </c>
      <c r="K3" s="41" t="s">
        <v>54</v>
      </c>
      <c r="L3" s="42" t="s">
        <v>21</v>
      </c>
      <c r="M3" s="45">
        <f>(190/15)+(100/15)</f>
        <v>19.333333333333332</v>
      </c>
      <c r="N3" s="45">
        <f>(110/15)+(40/15)</f>
        <v>10</v>
      </c>
      <c r="O3" s="10">
        <v>1</v>
      </c>
      <c r="P3" s="49">
        <f>M3*O3</f>
        <v>19.333333333333332</v>
      </c>
      <c r="Q3" s="49">
        <f>N3*O3</f>
        <v>10</v>
      </c>
    </row>
    <row r="4" spans="2:17" s="10" customFormat="1" ht="14.5" customHeight="1" x14ac:dyDescent="0.3">
      <c r="B4" s="41" t="s">
        <v>39</v>
      </c>
      <c r="C4" s="42" t="s">
        <v>3</v>
      </c>
      <c r="D4" s="45">
        <f>(1/2)+(90/15)</f>
        <v>6.5</v>
      </c>
      <c r="E4" s="50">
        <f>(1/2)+(90/15)</f>
        <v>6.5</v>
      </c>
      <c r="F4" s="38">
        <v>2</v>
      </c>
      <c r="G4" s="45">
        <f t="shared" ref="G4:G32" si="0">D4*F4</f>
        <v>13</v>
      </c>
      <c r="H4" s="45">
        <f t="shared" ref="H4:H32" si="1">E4*F4</f>
        <v>13</v>
      </c>
      <c r="K4" s="41" t="s">
        <v>36</v>
      </c>
      <c r="L4" s="42" t="s">
        <v>22</v>
      </c>
      <c r="M4" s="45">
        <f>(190/15)+(130/15)</f>
        <v>21.333333333333332</v>
      </c>
      <c r="N4" s="45">
        <f>(110/15)+(50/15)</f>
        <v>10.666666666666666</v>
      </c>
      <c r="O4" s="10">
        <v>1</v>
      </c>
      <c r="P4" s="49">
        <f t="shared" ref="P4:P32" si="2">M4*O4</f>
        <v>21.333333333333332</v>
      </c>
      <c r="Q4" s="49">
        <f t="shared" ref="Q4:Q32" si="3">N4*O4</f>
        <v>10.666666666666666</v>
      </c>
    </row>
    <row r="5" spans="2:17" s="10" customFormat="1" ht="14.5" customHeight="1" x14ac:dyDescent="0.3">
      <c r="B5" s="41" t="s">
        <v>40</v>
      </c>
      <c r="C5" s="42" t="s">
        <v>4</v>
      </c>
      <c r="D5" s="45">
        <f>(1/2)+(80/15)</f>
        <v>5.833333333333333</v>
      </c>
      <c r="E5" s="50">
        <f>(1/2)+(110/15)</f>
        <v>7.833333333333333</v>
      </c>
      <c r="F5" s="38">
        <v>2</v>
      </c>
      <c r="G5" s="45">
        <f t="shared" si="0"/>
        <v>11.666666666666666</v>
      </c>
      <c r="H5" s="45">
        <f t="shared" si="1"/>
        <v>15.666666666666666</v>
      </c>
      <c r="K5" s="41" t="s">
        <v>55</v>
      </c>
      <c r="L5" s="42" t="s">
        <v>23</v>
      </c>
      <c r="M5" s="45">
        <f>(190/15)+(80/15)</f>
        <v>18</v>
      </c>
      <c r="N5" s="45">
        <f>(110/15)+(60/15)</f>
        <v>11.333333333333332</v>
      </c>
      <c r="O5" s="10">
        <v>1</v>
      </c>
      <c r="P5" s="49">
        <f t="shared" si="2"/>
        <v>18</v>
      </c>
      <c r="Q5" s="49">
        <f t="shared" si="3"/>
        <v>11.333333333333332</v>
      </c>
    </row>
    <row r="6" spans="2:17" s="10" customFormat="1" ht="14.5" customHeight="1" x14ac:dyDescent="0.3">
      <c r="B6" s="41" t="s">
        <v>41</v>
      </c>
      <c r="C6" s="42" t="s">
        <v>5</v>
      </c>
      <c r="D6" s="45">
        <f>(1/2)+(110/15)</f>
        <v>7.833333333333333</v>
      </c>
      <c r="E6" s="50">
        <f>(310/15)+(40/15)</f>
        <v>23.333333333333336</v>
      </c>
      <c r="F6" s="38">
        <v>2</v>
      </c>
      <c r="G6" s="45">
        <f t="shared" si="0"/>
        <v>15.666666666666666</v>
      </c>
      <c r="H6" s="45">
        <f t="shared" si="1"/>
        <v>46.666666666666671</v>
      </c>
      <c r="K6" s="41" t="s">
        <v>50</v>
      </c>
      <c r="L6" s="42" t="s">
        <v>17</v>
      </c>
      <c r="M6" s="45">
        <f>(190/15)+(90/15)</f>
        <v>18.666666666666664</v>
      </c>
      <c r="N6" s="45">
        <f>(110/15)+(70/15)</f>
        <v>12</v>
      </c>
      <c r="O6" s="10">
        <v>1</v>
      </c>
      <c r="P6" s="49">
        <f t="shared" si="2"/>
        <v>18.666666666666664</v>
      </c>
      <c r="Q6" s="49">
        <f t="shared" si="3"/>
        <v>12</v>
      </c>
    </row>
    <row r="7" spans="2:17" s="10" customFormat="1" ht="14.5" customHeight="1" x14ac:dyDescent="0.3">
      <c r="B7" s="41" t="s">
        <v>37</v>
      </c>
      <c r="C7" s="42" t="s">
        <v>6</v>
      </c>
      <c r="D7" s="45">
        <f>(1/2)+(70/15)</f>
        <v>5.166666666666667</v>
      </c>
      <c r="E7" s="50">
        <f>(310/15)+(50/15)</f>
        <v>24</v>
      </c>
      <c r="F7" s="38">
        <v>2</v>
      </c>
      <c r="G7" s="45">
        <f t="shared" si="0"/>
        <v>10.333333333333334</v>
      </c>
      <c r="H7" s="45">
        <f t="shared" si="1"/>
        <v>48</v>
      </c>
      <c r="K7" s="41" t="s">
        <v>42</v>
      </c>
      <c r="L7" s="42" t="s">
        <v>7</v>
      </c>
      <c r="M7" s="45">
        <f>(1/2)+(60/15)</f>
        <v>4.5</v>
      </c>
      <c r="N7" s="45">
        <f>(110/15)+(80/15)</f>
        <v>12.666666666666666</v>
      </c>
      <c r="O7" s="10">
        <v>1</v>
      </c>
      <c r="P7" s="49">
        <f t="shared" si="2"/>
        <v>4.5</v>
      </c>
      <c r="Q7" s="49">
        <f t="shared" si="3"/>
        <v>12.666666666666666</v>
      </c>
    </row>
    <row r="8" spans="2:17" s="10" customFormat="1" ht="14.5" customHeight="1" x14ac:dyDescent="0.3">
      <c r="B8" s="41" t="s">
        <v>42</v>
      </c>
      <c r="C8" s="42" t="s">
        <v>7</v>
      </c>
      <c r="D8" s="45">
        <f>(1/2)+(60/15)</f>
        <v>4.5</v>
      </c>
      <c r="E8" s="50">
        <f>(310/15)+(60/15)</f>
        <v>24.666666666666668</v>
      </c>
      <c r="F8" s="38">
        <v>1</v>
      </c>
      <c r="G8" s="45">
        <f t="shared" si="0"/>
        <v>4.5</v>
      </c>
      <c r="H8" s="45">
        <f t="shared" si="1"/>
        <v>24.666666666666668</v>
      </c>
      <c r="K8" s="41" t="s">
        <v>47</v>
      </c>
      <c r="L8" s="42" t="s">
        <v>13</v>
      </c>
      <c r="M8" s="45">
        <f>(110/15)+(80/15)</f>
        <v>12.666666666666666</v>
      </c>
      <c r="N8" s="45">
        <f>(110/15)+(90/15)</f>
        <v>13.333333333333332</v>
      </c>
      <c r="O8" s="10">
        <v>1</v>
      </c>
      <c r="P8" s="49">
        <f t="shared" si="2"/>
        <v>12.666666666666666</v>
      </c>
      <c r="Q8" s="49">
        <f t="shared" si="3"/>
        <v>13.333333333333332</v>
      </c>
    </row>
    <row r="9" spans="2:17" s="10" customFormat="1" ht="14.5" customHeight="1" x14ac:dyDescent="0.3">
      <c r="B9" s="41" t="s">
        <v>43</v>
      </c>
      <c r="C9" s="42" t="s">
        <v>8</v>
      </c>
      <c r="D9" s="45">
        <f>(1/2)+(40/15)</f>
        <v>3.1666666666666665</v>
      </c>
      <c r="E9" s="50">
        <f>(310/15)+(70/15)</f>
        <v>25.333333333333336</v>
      </c>
      <c r="F9" s="38">
        <v>2</v>
      </c>
      <c r="G9" s="45">
        <f t="shared" si="0"/>
        <v>6.333333333333333</v>
      </c>
      <c r="H9" s="45">
        <f t="shared" si="1"/>
        <v>50.666666666666671</v>
      </c>
      <c r="K9" s="41" t="s">
        <v>48</v>
      </c>
      <c r="L9" s="42" t="s">
        <v>14</v>
      </c>
      <c r="M9" s="45">
        <f>(110/15)+(70/15)</f>
        <v>12</v>
      </c>
      <c r="N9" s="45">
        <f>(110/15)+(100/15)</f>
        <v>14</v>
      </c>
      <c r="O9" s="10">
        <v>1</v>
      </c>
      <c r="P9" s="49">
        <f t="shared" si="2"/>
        <v>12</v>
      </c>
      <c r="Q9" s="49">
        <f t="shared" si="3"/>
        <v>14</v>
      </c>
    </row>
    <row r="10" spans="2:17" s="10" customFormat="1" ht="14.5" customHeight="1" x14ac:dyDescent="0.3">
      <c r="B10" s="41" t="s">
        <v>44</v>
      </c>
      <c r="C10" s="42" t="s">
        <v>9</v>
      </c>
      <c r="D10" s="45">
        <f>(1/2)+(50/15)</f>
        <v>3.8333333333333335</v>
      </c>
      <c r="E10" s="50">
        <f>(310/15)+(80/15)</f>
        <v>26</v>
      </c>
      <c r="F10" s="38">
        <v>2</v>
      </c>
      <c r="G10" s="45">
        <f t="shared" si="0"/>
        <v>7.666666666666667</v>
      </c>
      <c r="H10" s="45">
        <f t="shared" si="1"/>
        <v>52</v>
      </c>
      <c r="K10" s="41" t="s">
        <v>56</v>
      </c>
      <c r="L10" s="42" t="s">
        <v>24</v>
      </c>
      <c r="M10" s="45">
        <f>(340/15)+(210/15)</f>
        <v>36.666666666666671</v>
      </c>
      <c r="N10" s="45">
        <f>(1/2)+(30/15)</f>
        <v>2.5</v>
      </c>
      <c r="O10" s="10">
        <v>1</v>
      </c>
      <c r="P10" s="49">
        <f t="shared" si="2"/>
        <v>36.666666666666671</v>
      </c>
      <c r="Q10" s="49">
        <f t="shared" si="3"/>
        <v>2.5</v>
      </c>
    </row>
    <row r="11" spans="2:17" s="10" customFormat="1" ht="14.5" customHeight="1" x14ac:dyDescent="0.3">
      <c r="B11" s="41" t="s">
        <v>34</v>
      </c>
      <c r="C11" s="42" t="s">
        <v>10</v>
      </c>
      <c r="D11" s="45">
        <f>(110/15)+(40/15)</f>
        <v>10</v>
      </c>
      <c r="E11" s="50">
        <f>(310/15)+(90/15)</f>
        <v>26.666666666666668</v>
      </c>
      <c r="F11" s="38">
        <v>2</v>
      </c>
      <c r="G11" s="45">
        <f t="shared" si="0"/>
        <v>20</v>
      </c>
      <c r="H11" s="45">
        <f t="shared" si="1"/>
        <v>53.333333333333336</v>
      </c>
      <c r="K11" s="41" t="s">
        <v>38</v>
      </c>
      <c r="L11" s="38" t="s">
        <v>25</v>
      </c>
      <c r="M11" s="45">
        <f>(340/15)+(180/15)</f>
        <v>34.666666666666671</v>
      </c>
      <c r="N11" s="45">
        <f>(1/2)+(40/15)</f>
        <v>3.1666666666666665</v>
      </c>
      <c r="O11" s="10">
        <v>1</v>
      </c>
      <c r="P11" s="49">
        <f t="shared" si="2"/>
        <v>34.666666666666671</v>
      </c>
      <c r="Q11" s="49">
        <f t="shared" si="3"/>
        <v>3.1666666666666665</v>
      </c>
    </row>
    <row r="12" spans="2:17" s="10" customFormat="1" ht="14.5" customHeight="1" x14ac:dyDescent="0.3">
      <c r="B12" s="41" t="s">
        <v>45</v>
      </c>
      <c r="C12" s="42" t="s">
        <v>11</v>
      </c>
      <c r="D12" s="45">
        <f>(1/2)+(30/15)</f>
        <v>2.5</v>
      </c>
      <c r="E12" s="50">
        <f>(1/2)+(70/15)</f>
        <v>5.166666666666667</v>
      </c>
      <c r="F12" s="38">
        <v>2</v>
      </c>
      <c r="G12" s="45">
        <f t="shared" si="0"/>
        <v>5</v>
      </c>
      <c r="H12" s="45">
        <f t="shared" si="1"/>
        <v>10.333333333333334</v>
      </c>
      <c r="K12" s="41" t="s">
        <v>57</v>
      </c>
      <c r="L12" s="38" t="s">
        <v>26</v>
      </c>
      <c r="M12" s="45">
        <f>(340/15)+(150/15)</f>
        <v>32.666666666666671</v>
      </c>
      <c r="N12" s="45">
        <f>(1/2)+(50/15)</f>
        <v>3.8333333333333335</v>
      </c>
      <c r="O12" s="10">
        <v>1</v>
      </c>
      <c r="P12" s="49">
        <f t="shared" si="2"/>
        <v>32.666666666666671</v>
      </c>
      <c r="Q12" s="49">
        <f t="shared" si="3"/>
        <v>3.8333333333333335</v>
      </c>
    </row>
    <row r="13" spans="2:17" s="10" customFormat="1" ht="14.5" customHeight="1" x14ac:dyDescent="0.3">
      <c r="B13" s="41" t="s">
        <v>46</v>
      </c>
      <c r="C13" s="42" t="s">
        <v>12</v>
      </c>
      <c r="D13" s="45">
        <f>(110/15)+(50/15)</f>
        <v>10.666666666666666</v>
      </c>
      <c r="E13" s="50">
        <f>(310/15)+(100/15)</f>
        <v>27.333333333333336</v>
      </c>
      <c r="F13" s="38">
        <v>2</v>
      </c>
      <c r="G13" s="45">
        <f t="shared" si="0"/>
        <v>21.333333333333332</v>
      </c>
      <c r="H13" s="45">
        <f t="shared" si="1"/>
        <v>54.666666666666671</v>
      </c>
      <c r="K13" s="41" t="s">
        <v>58</v>
      </c>
      <c r="L13" s="38" t="s">
        <v>27</v>
      </c>
      <c r="M13" s="45">
        <f>(340/15)+(200/15)</f>
        <v>36</v>
      </c>
      <c r="N13" s="45">
        <f>(1/2)+(60/15)</f>
        <v>4.5</v>
      </c>
      <c r="O13" s="10">
        <v>1</v>
      </c>
      <c r="P13" s="49">
        <f t="shared" si="2"/>
        <v>36</v>
      </c>
      <c r="Q13" s="49">
        <f t="shared" si="3"/>
        <v>4.5</v>
      </c>
    </row>
    <row r="14" spans="2:17" s="10" customFormat="1" ht="14.5" customHeight="1" x14ac:dyDescent="0.3">
      <c r="B14" s="41" t="s">
        <v>47</v>
      </c>
      <c r="C14" s="42" t="s">
        <v>13</v>
      </c>
      <c r="D14" s="45">
        <f>(110/15)+(80/15)</f>
        <v>12.666666666666666</v>
      </c>
      <c r="E14" s="50">
        <f>(1/2)+(80/15)</f>
        <v>5.833333333333333</v>
      </c>
      <c r="F14" s="38">
        <v>1</v>
      </c>
      <c r="G14" s="45">
        <f t="shared" si="0"/>
        <v>12.666666666666666</v>
      </c>
      <c r="H14" s="45">
        <f t="shared" si="1"/>
        <v>5.833333333333333</v>
      </c>
      <c r="K14" s="41" t="s">
        <v>52</v>
      </c>
      <c r="L14" s="42" t="s">
        <v>19</v>
      </c>
      <c r="M14" s="45">
        <f>(190/15)+(110/15)</f>
        <v>20</v>
      </c>
      <c r="N14" s="45">
        <f>(210/15)+(40/15)</f>
        <v>16.666666666666668</v>
      </c>
      <c r="O14" s="10">
        <v>2</v>
      </c>
      <c r="P14" s="49">
        <f t="shared" si="2"/>
        <v>40</v>
      </c>
      <c r="Q14" s="49">
        <f t="shared" si="3"/>
        <v>33.333333333333336</v>
      </c>
    </row>
    <row r="15" spans="2:17" s="10" customFormat="1" ht="14.5" customHeight="1" x14ac:dyDescent="0.3">
      <c r="B15" s="41" t="s">
        <v>48</v>
      </c>
      <c r="C15" s="42" t="s">
        <v>14</v>
      </c>
      <c r="D15" s="45">
        <f>(110/15)+(70/15)</f>
        <v>12</v>
      </c>
      <c r="E15" s="50">
        <f>(1/2)+(60/15)</f>
        <v>4.5</v>
      </c>
      <c r="F15" s="38">
        <v>1</v>
      </c>
      <c r="G15" s="45">
        <f t="shared" si="0"/>
        <v>12</v>
      </c>
      <c r="H15" s="45">
        <f t="shared" si="1"/>
        <v>4.5</v>
      </c>
      <c r="K15" s="41" t="s">
        <v>53</v>
      </c>
      <c r="L15" s="42" t="s">
        <v>20</v>
      </c>
      <c r="M15" s="45">
        <f>(190/15)+(140/15)</f>
        <v>22</v>
      </c>
      <c r="N15" s="45">
        <f>(1/2)+(70/15)</f>
        <v>5.166666666666667</v>
      </c>
      <c r="O15" s="10">
        <v>2</v>
      </c>
      <c r="P15" s="49">
        <f t="shared" si="2"/>
        <v>44</v>
      </c>
      <c r="Q15" s="49">
        <f t="shared" si="3"/>
        <v>10.333333333333334</v>
      </c>
    </row>
    <row r="16" spans="2:17" s="10" customFormat="1" ht="14.5" customHeight="1" x14ac:dyDescent="0.3">
      <c r="B16" s="41" t="s">
        <v>49</v>
      </c>
      <c r="C16" s="42" t="s">
        <v>15</v>
      </c>
      <c r="D16" s="45">
        <f>(110/15)+(60/15)</f>
        <v>11.333333333333332</v>
      </c>
      <c r="E16" s="50">
        <f>(1/2)+(30/15)</f>
        <v>2.5</v>
      </c>
      <c r="F16" s="38">
        <v>2</v>
      </c>
      <c r="G16" s="45">
        <f t="shared" si="0"/>
        <v>22.666666666666664</v>
      </c>
      <c r="H16" s="45">
        <f t="shared" si="1"/>
        <v>5</v>
      </c>
      <c r="K16" s="41" t="s">
        <v>33</v>
      </c>
      <c r="L16" s="42" t="s">
        <v>2</v>
      </c>
      <c r="M16" s="45">
        <f>(1/2)+(100/15)</f>
        <v>7.166666666666667</v>
      </c>
      <c r="N16" s="45">
        <f>(210/15)+(50/15)</f>
        <v>17.333333333333332</v>
      </c>
      <c r="O16" s="10">
        <v>2</v>
      </c>
      <c r="P16" s="49">
        <f t="shared" si="2"/>
        <v>14.333333333333334</v>
      </c>
      <c r="Q16" s="49">
        <f t="shared" si="3"/>
        <v>34.666666666666664</v>
      </c>
    </row>
    <row r="17" spans="2:17" s="10" customFormat="1" ht="14.5" customHeight="1" x14ac:dyDescent="0.3">
      <c r="B17" s="41" t="s">
        <v>35</v>
      </c>
      <c r="C17" s="42" t="s">
        <v>16</v>
      </c>
      <c r="D17" s="45">
        <f>(190/15)+(150/15)</f>
        <v>22.666666666666664</v>
      </c>
      <c r="E17" s="50">
        <f>(1/2)+(40/15)</f>
        <v>3.1666666666666665</v>
      </c>
      <c r="F17" s="38">
        <v>3</v>
      </c>
      <c r="G17" s="45">
        <f t="shared" si="0"/>
        <v>68</v>
      </c>
      <c r="H17" s="45">
        <f t="shared" si="1"/>
        <v>9.5</v>
      </c>
      <c r="K17" s="41" t="s">
        <v>39</v>
      </c>
      <c r="L17" s="42" t="s">
        <v>3</v>
      </c>
      <c r="M17" s="45">
        <f>(1/2)+(90/15)</f>
        <v>6.5</v>
      </c>
      <c r="N17" s="45">
        <f>(210/15)+(60/15)</f>
        <v>18</v>
      </c>
      <c r="O17" s="10">
        <v>2</v>
      </c>
      <c r="P17" s="49">
        <f t="shared" si="2"/>
        <v>13</v>
      </c>
      <c r="Q17" s="49">
        <f t="shared" si="3"/>
        <v>36</v>
      </c>
    </row>
    <row r="18" spans="2:17" s="10" customFormat="1" ht="14.5" customHeight="1" x14ac:dyDescent="0.3">
      <c r="B18" s="41" t="s">
        <v>50</v>
      </c>
      <c r="C18" s="42" t="s">
        <v>17</v>
      </c>
      <c r="D18" s="45">
        <f>(190/15)+(90/15)</f>
        <v>18.666666666666664</v>
      </c>
      <c r="E18" s="50">
        <f>(110/15)+(50/15)</f>
        <v>10.666666666666666</v>
      </c>
      <c r="F18" s="38">
        <v>1</v>
      </c>
      <c r="G18" s="45">
        <f t="shared" si="0"/>
        <v>18.666666666666664</v>
      </c>
      <c r="H18" s="45">
        <f t="shared" si="1"/>
        <v>10.666666666666666</v>
      </c>
      <c r="K18" s="41" t="s">
        <v>40</v>
      </c>
      <c r="L18" s="42" t="s">
        <v>4</v>
      </c>
      <c r="M18" s="45">
        <f>(1/2)+(80/15)</f>
        <v>5.833333333333333</v>
      </c>
      <c r="N18" s="45">
        <f>(210/15)+(70/15)</f>
        <v>18.666666666666668</v>
      </c>
      <c r="O18" s="10">
        <v>2</v>
      </c>
      <c r="P18" s="49">
        <f t="shared" si="2"/>
        <v>11.666666666666666</v>
      </c>
      <c r="Q18" s="49">
        <f t="shared" si="3"/>
        <v>37.333333333333336</v>
      </c>
    </row>
    <row r="19" spans="2:17" s="10" customFormat="1" ht="14.5" customHeight="1" x14ac:dyDescent="0.3">
      <c r="B19" s="41" t="s">
        <v>51</v>
      </c>
      <c r="C19" s="42" t="s">
        <v>18</v>
      </c>
      <c r="D19" s="45">
        <f>(190/15)+(120/15)</f>
        <v>20.666666666666664</v>
      </c>
      <c r="E19" s="50">
        <f>(1/2)+(50/15)</f>
        <v>3.8333333333333335</v>
      </c>
      <c r="F19" s="38">
        <v>2</v>
      </c>
      <c r="G19" s="45">
        <f t="shared" si="0"/>
        <v>41.333333333333329</v>
      </c>
      <c r="H19" s="45">
        <f t="shared" si="1"/>
        <v>7.666666666666667</v>
      </c>
      <c r="K19" s="41" t="s">
        <v>41</v>
      </c>
      <c r="L19" s="42" t="s">
        <v>5</v>
      </c>
      <c r="M19" s="45">
        <f>(1/2)+(110/15)</f>
        <v>7.833333333333333</v>
      </c>
      <c r="N19" s="45">
        <f>(310/15)+(50/15)</f>
        <v>24</v>
      </c>
      <c r="O19" s="10">
        <v>2</v>
      </c>
      <c r="P19" s="49">
        <f t="shared" si="2"/>
        <v>15.666666666666666</v>
      </c>
      <c r="Q19" s="49">
        <f t="shared" si="3"/>
        <v>48</v>
      </c>
    </row>
    <row r="20" spans="2:17" s="10" customFormat="1" ht="14.5" customHeight="1" x14ac:dyDescent="0.3">
      <c r="B20" s="41" t="s">
        <v>52</v>
      </c>
      <c r="C20" s="42" t="s">
        <v>19</v>
      </c>
      <c r="D20" s="45">
        <f>(190/15)+(110/15)</f>
        <v>20</v>
      </c>
      <c r="E20" s="50">
        <f>(210/15)+(40/15)</f>
        <v>16.666666666666668</v>
      </c>
      <c r="F20" s="38">
        <v>2</v>
      </c>
      <c r="G20" s="45">
        <f t="shared" si="0"/>
        <v>40</v>
      </c>
      <c r="H20" s="45">
        <f t="shared" si="1"/>
        <v>33.333333333333336</v>
      </c>
      <c r="K20" s="41" t="s">
        <v>37</v>
      </c>
      <c r="L20" s="42" t="s">
        <v>6</v>
      </c>
      <c r="M20" s="45">
        <f>(1/2)+(70/15)</f>
        <v>5.166666666666667</v>
      </c>
      <c r="N20" s="45">
        <f>(310/15)+(60/15)</f>
        <v>24.666666666666668</v>
      </c>
      <c r="O20" s="10">
        <v>2</v>
      </c>
      <c r="P20" s="49">
        <f t="shared" si="2"/>
        <v>10.333333333333334</v>
      </c>
      <c r="Q20" s="49">
        <f t="shared" si="3"/>
        <v>49.333333333333336</v>
      </c>
    </row>
    <row r="21" spans="2:17" s="10" customFormat="1" ht="14.5" customHeight="1" x14ac:dyDescent="0.3">
      <c r="B21" s="41" t="s">
        <v>53</v>
      </c>
      <c r="C21" s="42" t="s">
        <v>20</v>
      </c>
      <c r="D21" s="45">
        <f>(190/15)+(140/15)</f>
        <v>22</v>
      </c>
      <c r="E21" s="50">
        <f>(110/15)+(40/15)</f>
        <v>10</v>
      </c>
      <c r="F21" s="38">
        <v>2</v>
      </c>
      <c r="G21" s="45">
        <f t="shared" si="0"/>
        <v>44</v>
      </c>
      <c r="H21" s="45">
        <f t="shared" si="1"/>
        <v>20</v>
      </c>
      <c r="K21" s="41" t="s">
        <v>43</v>
      </c>
      <c r="L21" s="42" t="s">
        <v>8</v>
      </c>
      <c r="M21" s="45">
        <f>(1/2)+(40/15)</f>
        <v>3.1666666666666665</v>
      </c>
      <c r="N21" s="45">
        <f>(310/15)+(70/15)</f>
        <v>25.333333333333336</v>
      </c>
      <c r="O21" s="10">
        <v>2</v>
      </c>
      <c r="P21" s="49">
        <f t="shared" si="2"/>
        <v>6.333333333333333</v>
      </c>
      <c r="Q21" s="49">
        <f t="shared" si="3"/>
        <v>50.666666666666671</v>
      </c>
    </row>
    <row r="22" spans="2:17" s="10" customFormat="1" ht="14.5" customHeight="1" x14ac:dyDescent="0.3">
      <c r="B22" s="41" t="s">
        <v>54</v>
      </c>
      <c r="C22" s="42" t="s">
        <v>21</v>
      </c>
      <c r="D22" s="45">
        <f>(190/15)+(100/15)</f>
        <v>19.333333333333332</v>
      </c>
      <c r="E22" s="50">
        <f>(210/15)+(70/15)</f>
        <v>18.666666666666668</v>
      </c>
      <c r="F22" s="38">
        <v>1</v>
      </c>
      <c r="G22" s="45">
        <f t="shared" si="0"/>
        <v>19.333333333333332</v>
      </c>
      <c r="H22" s="45">
        <f t="shared" si="1"/>
        <v>18.666666666666668</v>
      </c>
      <c r="K22" s="41" t="s">
        <v>44</v>
      </c>
      <c r="L22" s="42" t="s">
        <v>9</v>
      </c>
      <c r="M22" s="45">
        <f>(1/2)+(50/15)</f>
        <v>3.8333333333333335</v>
      </c>
      <c r="N22" s="45">
        <f>(310/15)+(80/15)</f>
        <v>26</v>
      </c>
      <c r="O22" s="10">
        <v>2</v>
      </c>
      <c r="P22" s="49">
        <f t="shared" si="2"/>
        <v>7.666666666666667</v>
      </c>
      <c r="Q22" s="49">
        <f t="shared" si="3"/>
        <v>52</v>
      </c>
    </row>
    <row r="23" spans="2:17" s="10" customFormat="1" ht="14.5" customHeight="1" x14ac:dyDescent="0.3">
      <c r="B23" s="41" t="s">
        <v>36</v>
      </c>
      <c r="C23" s="42" t="s">
        <v>22</v>
      </c>
      <c r="D23" s="45">
        <f>(190/15)+(130/15)</f>
        <v>21.333333333333332</v>
      </c>
      <c r="E23" s="50">
        <f>(210/15)+(50/15)</f>
        <v>17.333333333333332</v>
      </c>
      <c r="F23" s="38">
        <v>1</v>
      </c>
      <c r="G23" s="45">
        <f t="shared" si="0"/>
        <v>21.333333333333332</v>
      </c>
      <c r="H23" s="45">
        <f t="shared" si="1"/>
        <v>17.333333333333332</v>
      </c>
      <c r="K23" s="41" t="s">
        <v>34</v>
      </c>
      <c r="L23" s="42" t="s">
        <v>10</v>
      </c>
      <c r="M23" s="45">
        <f>(110/15)+(40/15)</f>
        <v>10</v>
      </c>
      <c r="N23" s="45">
        <f>(310/15)+(90/15)</f>
        <v>26.666666666666668</v>
      </c>
      <c r="O23" s="10">
        <v>2</v>
      </c>
      <c r="P23" s="49">
        <f t="shared" si="2"/>
        <v>20</v>
      </c>
      <c r="Q23" s="49">
        <f t="shared" si="3"/>
        <v>53.333333333333336</v>
      </c>
    </row>
    <row r="24" spans="2:17" s="10" customFormat="1" ht="14.5" customHeight="1" x14ac:dyDescent="0.3">
      <c r="B24" s="41" t="s">
        <v>55</v>
      </c>
      <c r="C24" s="42" t="s">
        <v>23</v>
      </c>
      <c r="D24" s="45">
        <f>(190/15)+(80/15)</f>
        <v>18</v>
      </c>
      <c r="E24" s="50">
        <f>(210/15)+(60/15)</f>
        <v>18</v>
      </c>
      <c r="F24" s="38">
        <v>1</v>
      </c>
      <c r="G24" s="45">
        <f t="shared" si="0"/>
        <v>18</v>
      </c>
      <c r="H24" s="45">
        <f t="shared" si="1"/>
        <v>18</v>
      </c>
      <c r="K24" s="41" t="s">
        <v>45</v>
      </c>
      <c r="L24" s="42" t="s">
        <v>11</v>
      </c>
      <c r="M24" s="45">
        <f>(1/2)+(30/15)</f>
        <v>2.5</v>
      </c>
      <c r="N24" s="45">
        <f>(210/15)+(100/15)</f>
        <v>20.666666666666668</v>
      </c>
      <c r="O24" s="10">
        <v>2</v>
      </c>
      <c r="P24" s="49">
        <f t="shared" si="2"/>
        <v>5</v>
      </c>
      <c r="Q24" s="49">
        <f t="shared" si="3"/>
        <v>41.333333333333336</v>
      </c>
    </row>
    <row r="25" spans="2:17" s="10" customFormat="1" ht="14.5" customHeight="1" x14ac:dyDescent="0.3">
      <c r="B25" s="41" t="s">
        <v>56</v>
      </c>
      <c r="C25" s="42" t="s">
        <v>24</v>
      </c>
      <c r="D25" s="45">
        <f>(340/15)+(210/15)</f>
        <v>36.666666666666671</v>
      </c>
      <c r="E25" s="50">
        <f>(210/15)+(80/15)</f>
        <v>19.333333333333332</v>
      </c>
      <c r="F25" s="38">
        <v>1</v>
      </c>
      <c r="G25" s="45">
        <f t="shared" si="0"/>
        <v>36.666666666666671</v>
      </c>
      <c r="H25" s="45">
        <f t="shared" si="1"/>
        <v>19.333333333333332</v>
      </c>
      <c r="K25" s="41" t="s">
        <v>46</v>
      </c>
      <c r="L25" s="42" t="s">
        <v>12</v>
      </c>
      <c r="M25" s="45">
        <f>(110/15)+(50/15)</f>
        <v>10.666666666666666</v>
      </c>
      <c r="N25" s="45">
        <f>(310/15)+(40/15)</f>
        <v>23.333333333333336</v>
      </c>
      <c r="O25" s="10">
        <v>2</v>
      </c>
      <c r="P25" s="49">
        <f t="shared" si="2"/>
        <v>21.333333333333332</v>
      </c>
      <c r="Q25" s="49">
        <f t="shared" si="3"/>
        <v>46.666666666666671</v>
      </c>
    </row>
    <row r="26" spans="2:17" s="10" customFormat="1" ht="14.5" customHeight="1" x14ac:dyDescent="0.3">
      <c r="B26" s="41" t="s">
        <v>38</v>
      </c>
      <c r="C26" s="38" t="s">
        <v>25</v>
      </c>
      <c r="D26" s="45">
        <f>(340/15)+(180/15)</f>
        <v>34.666666666666671</v>
      </c>
      <c r="E26" s="50">
        <f>(110/15)+(70/15)</f>
        <v>12</v>
      </c>
      <c r="F26" s="38">
        <v>1</v>
      </c>
      <c r="G26" s="45">
        <f t="shared" si="0"/>
        <v>34.666666666666671</v>
      </c>
      <c r="H26" s="45">
        <f t="shared" si="1"/>
        <v>12</v>
      </c>
      <c r="K26" s="41" t="s">
        <v>49</v>
      </c>
      <c r="L26" s="42" t="s">
        <v>15</v>
      </c>
      <c r="M26" s="45">
        <f>(110/15)+(60/15)</f>
        <v>11.333333333333332</v>
      </c>
      <c r="N26" s="45">
        <f>(210/15)+(80/15)</f>
        <v>19.333333333333332</v>
      </c>
      <c r="O26" s="10">
        <v>2</v>
      </c>
      <c r="P26" s="49">
        <f t="shared" si="2"/>
        <v>22.666666666666664</v>
      </c>
      <c r="Q26" s="49">
        <f t="shared" si="3"/>
        <v>38.666666666666664</v>
      </c>
    </row>
    <row r="27" spans="2:17" s="10" customFormat="1" ht="14.5" customHeight="1" x14ac:dyDescent="0.3">
      <c r="B27" s="41" t="s">
        <v>57</v>
      </c>
      <c r="C27" s="38" t="s">
        <v>26</v>
      </c>
      <c r="D27" s="45">
        <f>(340/15)+(150/15)</f>
        <v>32.666666666666671</v>
      </c>
      <c r="E27" s="50">
        <f>(210/15)+(90/15)</f>
        <v>20</v>
      </c>
      <c r="F27" s="38">
        <v>1</v>
      </c>
      <c r="G27" s="45">
        <f t="shared" si="0"/>
        <v>32.666666666666671</v>
      </c>
      <c r="H27" s="45">
        <f t="shared" si="1"/>
        <v>20</v>
      </c>
      <c r="K27" s="41" t="s">
        <v>51</v>
      </c>
      <c r="L27" s="42" t="s">
        <v>18</v>
      </c>
      <c r="M27" s="45">
        <f>(190/15)+(120/15)</f>
        <v>20.666666666666664</v>
      </c>
      <c r="N27" s="45">
        <f>(210/15)+(90/15)</f>
        <v>20</v>
      </c>
      <c r="O27" s="10">
        <v>2</v>
      </c>
      <c r="P27" s="49">
        <f t="shared" si="2"/>
        <v>41.333333333333329</v>
      </c>
      <c r="Q27" s="49">
        <f t="shared" si="3"/>
        <v>40</v>
      </c>
    </row>
    <row r="28" spans="2:17" s="10" customFormat="1" ht="14.5" customHeight="1" x14ac:dyDescent="0.3">
      <c r="B28" s="41" t="s">
        <v>58</v>
      </c>
      <c r="C28" s="38" t="s">
        <v>27</v>
      </c>
      <c r="D28" s="45">
        <f>(340/15)+(200/15)</f>
        <v>36</v>
      </c>
      <c r="E28" s="50">
        <f>(210/15)+(100/15)</f>
        <v>20.666666666666668</v>
      </c>
      <c r="F28" s="38">
        <v>1</v>
      </c>
      <c r="G28" s="45">
        <f t="shared" si="0"/>
        <v>36</v>
      </c>
      <c r="H28" s="45">
        <f t="shared" si="1"/>
        <v>20.666666666666668</v>
      </c>
      <c r="K28" s="41" t="s">
        <v>59</v>
      </c>
      <c r="L28" s="38" t="s">
        <v>28</v>
      </c>
      <c r="M28" s="45">
        <f>(340/15)+(170/15)</f>
        <v>34</v>
      </c>
      <c r="N28" s="45">
        <f>(1/2)+(90/15)</f>
        <v>6.5</v>
      </c>
      <c r="O28" s="10">
        <v>2</v>
      </c>
      <c r="P28" s="49">
        <f t="shared" si="2"/>
        <v>68</v>
      </c>
      <c r="Q28" s="49">
        <f t="shared" si="3"/>
        <v>13</v>
      </c>
    </row>
    <row r="29" spans="2:17" s="10" customFormat="1" ht="14.5" customHeight="1" x14ac:dyDescent="0.3">
      <c r="B29" s="41" t="s">
        <v>59</v>
      </c>
      <c r="C29" s="38" t="s">
        <v>28</v>
      </c>
      <c r="D29" s="45">
        <f>(340/15)+(170/15)</f>
        <v>34</v>
      </c>
      <c r="E29" s="50">
        <f>(110/15)+(80/15)</f>
        <v>12.666666666666666</v>
      </c>
      <c r="F29" s="38">
        <v>2</v>
      </c>
      <c r="G29" s="45">
        <f t="shared" si="0"/>
        <v>68</v>
      </c>
      <c r="H29" s="45">
        <f t="shared" si="1"/>
        <v>25.333333333333332</v>
      </c>
      <c r="K29" s="41" t="s">
        <v>60</v>
      </c>
      <c r="L29" s="38" t="s">
        <v>29</v>
      </c>
      <c r="M29" s="45">
        <f t="shared" ref="M29" si="4">(340/15)+(140/15)</f>
        <v>32</v>
      </c>
      <c r="N29" s="45">
        <f>(1/2)+(100/15)</f>
        <v>7.166666666666667</v>
      </c>
      <c r="O29" s="10">
        <v>2</v>
      </c>
      <c r="P29" s="49">
        <f t="shared" si="2"/>
        <v>64</v>
      </c>
      <c r="Q29" s="49">
        <f t="shared" si="3"/>
        <v>14.333333333333334</v>
      </c>
    </row>
    <row r="30" spans="2:17" s="10" customFormat="1" ht="14.5" customHeight="1" x14ac:dyDescent="0.3">
      <c r="B30" s="41" t="s">
        <v>60</v>
      </c>
      <c r="C30" s="38" t="s">
        <v>29</v>
      </c>
      <c r="D30" s="45">
        <f t="shared" ref="D30" si="5">(340/15)+(140/15)</f>
        <v>32</v>
      </c>
      <c r="E30" s="50">
        <f>(110/15)+(90/15)</f>
        <v>13.333333333333332</v>
      </c>
      <c r="F30" s="38">
        <v>2</v>
      </c>
      <c r="G30" s="45">
        <f t="shared" si="0"/>
        <v>64</v>
      </c>
      <c r="H30" s="45">
        <f t="shared" si="1"/>
        <v>26.666666666666664</v>
      </c>
      <c r="K30" s="41" t="s">
        <v>61</v>
      </c>
      <c r="L30" s="38" t="s">
        <v>30</v>
      </c>
      <c r="M30" s="45">
        <f>(340/15)+(190/15)</f>
        <v>35.333333333333336</v>
      </c>
      <c r="N30" s="45">
        <f>(1/2)+(110/15)</f>
        <v>7.833333333333333</v>
      </c>
      <c r="O30" s="10">
        <v>2</v>
      </c>
      <c r="P30" s="49">
        <f t="shared" si="2"/>
        <v>70.666666666666671</v>
      </c>
      <c r="Q30" s="49">
        <f t="shared" si="3"/>
        <v>15.666666666666666</v>
      </c>
    </row>
    <row r="31" spans="2:17" s="10" customFormat="1" ht="14.5" customHeight="1" x14ac:dyDescent="0.3">
      <c r="B31" s="41" t="s">
        <v>61</v>
      </c>
      <c r="C31" s="38" t="s">
        <v>30</v>
      </c>
      <c r="D31" s="45">
        <f>(340/15)+(190/15)</f>
        <v>35.333333333333336</v>
      </c>
      <c r="E31" s="50">
        <f>(110/15)+(100/15)</f>
        <v>14</v>
      </c>
      <c r="F31" s="38">
        <v>2</v>
      </c>
      <c r="G31" s="45">
        <f t="shared" si="0"/>
        <v>70.666666666666671</v>
      </c>
      <c r="H31" s="45">
        <f t="shared" si="1"/>
        <v>28</v>
      </c>
      <c r="K31" s="41" t="s">
        <v>62</v>
      </c>
      <c r="L31" s="38" t="s">
        <v>31</v>
      </c>
      <c r="M31" s="45">
        <f>(340/15)+(160/15)</f>
        <v>33.333333333333336</v>
      </c>
      <c r="N31" s="45">
        <f>(1/2)+(80/15)</f>
        <v>5.833333333333333</v>
      </c>
      <c r="O31" s="10">
        <v>2</v>
      </c>
      <c r="P31" s="49">
        <f t="shared" si="2"/>
        <v>66.666666666666671</v>
      </c>
      <c r="Q31" s="49">
        <f t="shared" si="3"/>
        <v>11.666666666666666</v>
      </c>
    </row>
    <row r="32" spans="2:17" s="10" customFormat="1" ht="14.5" customHeight="1" thickBot="1" x14ac:dyDescent="0.35">
      <c r="B32" s="43" t="s">
        <v>62</v>
      </c>
      <c r="C32" s="44" t="s">
        <v>31</v>
      </c>
      <c r="D32" s="45">
        <f>(340/15)+(160/15)</f>
        <v>33.333333333333336</v>
      </c>
      <c r="E32" s="50">
        <f>(110/15)+(60/15)</f>
        <v>11.333333333333332</v>
      </c>
      <c r="F32" s="44">
        <v>2</v>
      </c>
      <c r="G32" s="45">
        <f t="shared" si="0"/>
        <v>66.666666666666671</v>
      </c>
      <c r="H32" s="45">
        <f t="shared" si="1"/>
        <v>22.666666666666664</v>
      </c>
      <c r="K32" s="41" t="s">
        <v>35</v>
      </c>
      <c r="L32" s="48" t="s">
        <v>16</v>
      </c>
      <c r="M32" s="45">
        <f>(190/15)+(150/15)</f>
        <v>22.666666666666664</v>
      </c>
      <c r="N32" s="45">
        <f>(310/15)+(100/15)</f>
        <v>27.333333333333336</v>
      </c>
      <c r="O32" s="10">
        <v>3</v>
      </c>
      <c r="P32" s="49">
        <f t="shared" si="2"/>
        <v>68</v>
      </c>
      <c r="Q32" s="49">
        <f t="shared" si="3"/>
        <v>82</v>
      </c>
    </row>
    <row r="33" spans="2:17" x14ac:dyDescent="0.35">
      <c r="B33" s="54"/>
      <c r="C33" s="54"/>
      <c r="D33" s="46">
        <f>SUM(D3:D32)</f>
        <v>540.50000000000011</v>
      </c>
      <c r="E33" s="46">
        <f t="shared" ref="E33:H33" si="6">SUM(E3:E32)</f>
        <v>438.49999999999994</v>
      </c>
      <c r="F33">
        <f t="shared" si="6"/>
        <v>50</v>
      </c>
      <c r="G33" s="46">
        <f t="shared" si="6"/>
        <v>857.16666666666652</v>
      </c>
      <c r="H33" s="46">
        <f t="shared" si="6"/>
        <v>708.5</v>
      </c>
      <c r="K33" s="55"/>
      <c r="L33" s="55"/>
      <c r="M33" s="46">
        <f>SUM(M3:M32)</f>
        <v>540.5</v>
      </c>
      <c r="N33" s="46">
        <f t="shared" ref="N33:Q33" si="7">SUM(N3:N32)</f>
        <v>438.5</v>
      </c>
      <c r="O33" s="46">
        <f t="shared" si="7"/>
        <v>50</v>
      </c>
      <c r="P33" s="46">
        <f t="shared" si="7"/>
        <v>857.16666666666663</v>
      </c>
      <c r="Q33" s="46">
        <f t="shared" si="7"/>
        <v>806.33333333333326</v>
      </c>
    </row>
    <row r="35" spans="2:17" x14ac:dyDescent="0.35">
      <c r="G35" s="47">
        <f>H33/G33</f>
        <v>0.82656037332296339</v>
      </c>
      <c r="H35" s="46">
        <f>G33-H33</f>
        <v>148.66666666666652</v>
      </c>
      <c r="P35" s="46">
        <f>P33-Q33</f>
        <v>50.833333333333371</v>
      </c>
    </row>
    <row r="36" spans="2:17" x14ac:dyDescent="0.35">
      <c r="G36" s="47">
        <f>1-G35</f>
        <v>0.17343962667703661</v>
      </c>
      <c r="H36">
        <f>H35/G33</f>
        <v>0.17343962667703661</v>
      </c>
      <c r="P36" s="47">
        <f>P35/P33</f>
        <v>5.9303908224771579E-2</v>
      </c>
    </row>
  </sheetData>
  <mergeCells count="2">
    <mergeCell ref="B33:C33"/>
    <mergeCell ref="K33:L33"/>
  </mergeCells>
  <hyperlinks>
    <hyperlink ref="C3" r:id="rId1" display="https://krukus-indonesia.blogspot.com/2010/11/no-name-12.html" xr:uid="{717ED21C-BF08-4D1C-BCCC-77FB71C603E8}"/>
    <hyperlink ref="C4" r:id="rId2" display="https://krukus-indonesia.blogspot.com/2010/11/no-name-6.html" xr:uid="{AEC5046A-C112-4092-A055-BF720BEEA242}"/>
    <hyperlink ref="C5" r:id="rId3" display="https://krukus-indonesia.blogspot.com/2010/11/annular-bop.html" xr:uid="{20A2B7F6-4610-402D-BB4E-3C7F01F80EC6}"/>
    <hyperlink ref="C6" r:id="rId4" display="https://krukus-indonesia.blogspot.com/2010/11/annular-bop-set.html" xr:uid="{C9A08DC0-0976-4777-AAA0-EEA82E16BF9E}"/>
    <hyperlink ref="C7" r:id="rId5" display="https://krukus-indonesia.blogspot.com/2010/11/bop-flanges.html" xr:uid="{CE63A441-B968-4EE3-95B0-98ECB2104ABF}"/>
    <hyperlink ref="C8" r:id="rId6" display="https://krukus-indonesia.blogspot.com/2010/11/bop-flanges-s.html" xr:uid="{1A5276DE-8C6F-466D-A254-F11F8CEC7B41}"/>
    <hyperlink ref="C9" r:id="rId7" display="https://krukus-indonesia.blogspot.com/2010/11/bop-set.html" xr:uid="{A02EB81A-EEF3-4D5B-BB94-85CD15E814CE}"/>
    <hyperlink ref="C10" r:id="rId8" display="https://krukus-indonesia.blogspot.com/2010/11/hydrils.html" xr:uid="{182F7C82-572D-48AD-8131-73A65CE810F8}"/>
    <hyperlink ref="C11" r:id="rId9" display="https://krukus-indonesia.blogspot.com/2010/11/ram.html" xr:uid="{E211BD33-7131-4B1B-91C1-DA005FF6A77C}"/>
    <hyperlink ref="C12" r:id="rId10" display="https://krukus-indonesia.blogspot.com/2010/11/shaffer.html" xr:uid="{DF30F12F-E968-4DFF-BD7F-C8707B9AD5F6}"/>
    <hyperlink ref="C13" r:id="rId11" display="https://krukus-indonesia.blogspot.com/2010/11/shaffer-b.html" xr:uid="{0C859776-1D5F-4623-A323-952035028C0D}"/>
    <hyperlink ref="C14" r:id="rId12" display="https://krukus-indonesia.blogspot.com/2010/11/shaffer-l8.html" xr:uid="{B6465EC0-2AEB-4028-AD18-9C94701E426B}"/>
    <hyperlink ref="C15" r:id="rId13" display="https://krukus-indonesia.blogspot.com/2010/11/shaffer-s.html" xr:uid="{7A3E34F7-F010-46BE-B738-A661BFAB450E}"/>
    <hyperlink ref="C16" r:id="rId14" display="https://krukus-indonesia.blogspot.com/2010/11/mounting.html" xr:uid="{89500EF5-1A13-45F3-AE81-2AAFB60E947F}"/>
    <hyperlink ref="C17" r:id="rId15" display="https://krukus-indonesia.blogspot.com/2010/11/front-pic.html" xr:uid="{44F1A9DA-9E3C-4DF7-8EBC-E7BAB611BE02}"/>
    <hyperlink ref="C18" r:id="rId16" display="https://krukus-indonesia.blogspot.com/2010/11/chain.html" xr:uid="{4FD78B4F-8C26-4EEF-81FC-E3A9010FFF12}"/>
    <hyperlink ref="C19" r:id="rId17" display="https://krukus-indonesia.blogspot.com/2010/11/chain-2.html" xr:uid="{1CBC700C-E7F5-4E85-BBFF-88741829FB63}"/>
    <hyperlink ref="C20" r:id="rId18" display="https://krukus-indonesia.blogspot.com/2010/11/dam-chain.html" xr:uid="{D322D0CA-A691-444F-AFFD-C1A6A2B830D7}"/>
    <hyperlink ref="C21" r:id="rId19" display="https://krukus-indonesia.blogspot.com/2010/11/spring-single.html" xr:uid="{E4EC3A76-F73A-40AC-AF28-78B37456A5EF}"/>
    <hyperlink ref="C22" r:id="rId20" display="https://krukus-indonesia.blogspot.com/2010/11/spring-plate.html" xr:uid="{15020992-94A5-4C17-B013-E2FE4653A600}"/>
    <hyperlink ref="C23" r:id="rId21" display="https://krukus-indonesia.blogspot.com/2010/11/multi-spring.html" xr:uid="{F1745E12-DD5F-4F8E-BAA9-922C6505962F}"/>
    <hyperlink ref="C24" r:id="rId22" display="https://krukus-indonesia.blogspot.com/2010/11/cartridge-metal-bellows.html" xr:uid="{B072F4BA-A8B4-48FE-BBB5-F7F53F586ABF}"/>
    <hyperlink ref="C25" r:id="rId23" display="https://krukus-indonesia.blogspot.com/2010/11/catride-multi-spring.html" xr:uid="{DAC52899-56BF-4376-A1FC-15F3581F8D18}"/>
    <hyperlink ref="L7" r:id="rId24" display="https://krukus-indonesia.blogspot.com/2010/11/bop-flanges-s.html" xr:uid="{CD78401C-311A-46CE-958D-A0C5174A12F4}"/>
    <hyperlink ref="L8" r:id="rId25" display="https://krukus-indonesia.blogspot.com/2010/11/shaffer-l8.html" xr:uid="{CEC00C31-FDC6-4362-B6BD-EE5077E8702A}"/>
    <hyperlink ref="L9" r:id="rId26" display="https://krukus-indonesia.blogspot.com/2010/11/shaffer-s.html" xr:uid="{4A144C96-B6B4-4366-917B-82DD2B505DD8}"/>
    <hyperlink ref="L6" r:id="rId27" display="https://krukus-indonesia.blogspot.com/2010/11/chain.html" xr:uid="{AAAB47E4-430D-42CB-8493-D92E6C4D5220}"/>
    <hyperlink ref="L3" r:id="rId28" display="https://krukus-indonesia.blogspot.com/2010/11/spring-plate.html" xr:uid="{F3CE57B2-AB6E-4A6B-9C4F-11942953651B}"/>
    <hyperlink ref="L4" r:id="rId29" display="https://krukus-indonesia.blogspot.com/2010/11/multi-spring.html" xr:uid="{269683DF-3B17-4CCA-8C24-D4822CAF36CD}"/>
    <hyperlink ref="L5" r:id="rId30" display="https://krukus-indonesia.blogspot.com/2010/11/cartridge-metal-bellows.html" xr:uid="{1BB20319-6A2E-4167-BA1B-CF01BC260006}"/>
    <hyperlink ref="L10" r:id="rId31" display="https://krukus-indonesia.blogspot.com/2010/11/catride-multi-spring.html" xr:uid="{8035140C-11BF-46FC-A2E1-B0267C45351E}"/>
    <hyperlink ref="L16" r:id="rId32" display="https://krukus-indonesia.blogspot.com/2010/11/no-name-12.html" xr:uid="{D7C30B75-7BBF-4BC4-BE40-8E1239F39292}"/>
    <hyperlink ref="L17" r:id="rId33" display="https://krukus-indonesia.blogspot.com/2010/11/no-name-6.html" xr:uid="{87B5AF42-720C-486D-97F1-FD93740BEAE3}"/>
    <hyperlink ref="L18" r:id="rId34" display="https://krukus-indonesia.blogspot.com/2010/11/annular-bop.html" xr:uid="{04347CF9-31B4-4151-8699-76B1DA442A54}"/>
    <hyperlink ref="L19" r:id="rId35" display="https://krukus-indonesia.blogspot.com/2010/11/annular-bop-set.html" xr:uid="{9E12AD6E-B841-4CF4-9038-EA7B752851B8}"/>
    <hyperlink ref="L20" r:id="rId36" display="https://krukus-indonesia.blogspot.com/2010/11/bop-flanges.html" xr:uid="{331F6D04-B335-415E-8E5C-8AD6A6E6413D}"/>
    <hyperlink ref="L21" r:id="rId37" display="https://krukus-indonesia.blogspot.com/2010/11/bop-set.html" xr:uid="{AAF8BA33-A605-4F84-B054-3C0A6EEB1144}"/>
    <hyperlink ref="L22" r:id="rId38" display="https://krukus-indonesia.blogspot.com/2010/11/hydrils.html" xr:uid="{D4DA8D75-B1FB-4C04-8250-D3404DCEB0EE}"/>
    <hyperlink ref="L23" r:id="rId39" display="https://krukus-indonesia.blogspot.com/2010/11/ram.html" xr:uid="{4FE90E72-B434-4B11-A2A3-8FFC5483DFEE}"/>
    <hyperlink ref="L24" r:id="rId40" display="https://krukus-indonesia.blogspot.com/2010/11/shaffer.html" xr:uid="{F3D9EDFB-0976-4DD8-BC52-687E9F13FB49}"/>
    <hyperlink ref="L25" r:id="rId41" display="https://krukus-indonesia.blogspot.com/2010/11/shaffer-b.html" xr:uid="{8D246EBA-A05A-4E8D-B22E-7DE7D6A2F23A}"/>
    <hyperlink ref="L26" r:id="rId42" display="https://krukus-indonesia.blogspot.com/2010/11/mounting.html" xr:uid="{54183833-F84D-4EB7-9704-570389E294DD}"/>
    <hyperlink ref="L27" r:id="rId43" display="https://krukus-indonesia.blogspot.com/2010/11/chain-2.html" xr:uid="{9FA0CAC9-BAAC-477D-BECF-C6CC4ED7102C}"/>
    <hyperlink ref="L14" r:id="rId44" display="https://krukus-indonesia.blogspot.com/2010/11/dam-chain.html" xr:uid="{75411081-8A0F-4C1F-9F33-4DC31623052F}"/>
    <hyperlink ref="L15" r:id="rId45" display="https://krukus-indonesia.blogspot.com/2010/11/spring-single.html" xr:uid="{0FD38AF0-B7C7-4F6B-BF03-252D8A4CAC47}"/>
    <hyperlink ref="L32" r:id="rId46" display="https://krukus-indonesia.blogspot.com/2010/11/front-pic.html" xr:uid="{BB22DD61-BFA0-4A06-B56F-3A3EEFCF1718}"/>
  </hyperlinks>
  <pageMargins left="0.7" right="0.7" top="0.75" bottom="0.75" header="0.3" footer="0.3"/>
  <pageSetup orientation="portrait" horizontalDpi="1200" verticalDpi="1200" r:id="rId4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5C0F1-A896-4B45-86F4-9145EBA0E0E3}">
  <dimension ref="B2:G38"/>
  <sheetViews>
    <sheetView topLeftCell="A21" zoomScale="85" zoomScaleNormal="85" workbookViewId="0">
      <selection activeCell="B2" sqref="B2:G38"/>
    </sheetView>
  </sheetViews>
  <sheetFormatPr defaultRowHeight="14.5" x14ac:dyDescent="0.35"/>
  <cols>
    <col min="2" max="2" width="4.54296875" customWidth="1"/>
    <col min="3" max="3" width="22.1796875" customWidth="1"/>
    <col min="4" max="4" width="11" bestFit="1" customWidth="1"/>
  </cols>
  <sheetData>
    <row r="2" spans="2:7" ht="13" customHeight="1" x14ac:dyDescent="0.35">
      <c r="B2" s="7" t="s">
        <v>52</v>
      </c>
      <c r="C2" s="25" t="s">
        <v>19</v>
      </c>
      <c r="D2" s="12">
        <v>91</v>
      </c>
      <c r="E2" s="12">
        <v>17</v>
      </c>
      <c r="F2" s="32">
        <f t="shared" ref="F2:F4" si="0">D2/E2</f>
        <v>5.3529411764705879</v>
      </c>
      <c r="G2" s="17">
        <v>5</v>
      </c>
    </row>
    <row r="3" spans="2:7" ht="13" customHeight="1" x14ac:dyDescent="0.35">
      <c r="B3" s="7" t="s">
        <v>54</v>
      </c>
      <c r="C3" s="25" t="s">
        <v>21</v>
      </c>
      <c r="D3" s="12">
        <v>88</v>
      </c>
      <c r="E3" s="12">
        <v>16</v>
      </c>
      <c r="F3" s="32">
        <f t="shared" si="0"/>
        <v>5.5</v>
      </c>
      <c r="G3" s="17">
        <v>6</v>
      </c>
    </row>
    <row r="4" spans="2:7" ht="13" customHeight="1" x14ac:dyDescent="0.35">
      <c r="B4" s="7" t="s">
        <v>36</v>
      </c>
      <c r="C4" s="25" t="s">
        <v>22</v>
      </c>
      <c r="D4" s="12">
        <v>37</v>
      </c>
      <c r="E4" s="12">
        <v>8</v>
      </c>
      <c r="F4" s="32">
        <f t="shared" si="0"/>
        <v>4.625</v>
      </c>
      <c r="G4" s="17">
        <v>5</v>
      </c>
    </row>
    <row r="5" spans="2:7" ht="13" customHeight="1" x14ac:dyDescent="0.35">
      <c r="B5" s="7" t="s">
        <v>55</v>
      </c>
      <c r="C5" s="25" t="s">
        <v>23</v>
      </c>
      <c r="D5" s="7">
        <v>102</v>
      </c>
      <c r="E5" s="7">
        <v>18</v>
      </c>
      <c r="F5" s="32">
        <f>D5/E5</f>
        <v>5.666666666666667</v>
      </c>
      <c r="G5" s="17">
        <v>6</v>
      </c>
    </row>
    <row r="6" spans="2:7" ht="13" customHeight="1" x14ac:dyDescent="0.35">
      <c r="B6" s="7" t="s">
        <v>56</v>
      </c>
      <c r="C6" s="25" t="s">
        <v>24</v>
      </c>
      <c r="D6" s="7">
        <v>98</v>
      </c>
      <c r="E6" s="7">
        <v>17</v>
      </c>
      <c r="F6" s="32">
        <f t="shared" ref="F6:F8" si="1">D6/E6</f>
        <v>5.7647058823529411</v>
      </c>
      <c r="G6" s="17">
        <v>6</v>
      </c>
    </row>
    <row r="7" spans="2:7" ht="15.5" x14ac:dyDescent="0.35">
      <c r="B7" s="7" t="s">
        <v>57</v>
      </c>
      <c r="C7" s="6" t="s">
        <v>26</v>
      </c>
      <c r="D7" s="7">
        <v>85</v>
      </c>
      <c r="E7" s="7">
        <v>15</v>
      </c>
      <c r="F7" s="32">
        <f t="shared" si="1"/>
        <v>5.666666666666667</v>
      </c>
      <c r="G7" s="17">
        <v>6</v>
      </c>
    </row>
    <row r="8" spans="2:7" ht="15.5" x14ac:dyDescent="0.35">
      <c r="B8" s="7" t="s">
        <v>58</v>
      </c>
      <c r="C8" s="6" t="s">
        <v>27</v>
      </c>
      <c r="D8" s="7">
        <v>99</v>
      </c>
      <c r="E8" s="7">
        <v>16</v>
      </c>
      <c r="F8" s="32">
        <f t="shared" si="1"/>
        <v>6.1875</v>
      </c>
      <c r="G8" s="17">
        <v>6</v>
      </c>
    </row>
    <row r="9" spans="2:7" x14ac:dyDescent="0.35">
      <c r="B9" s="56" t="s">
        <v>75</v>
      </c>
      <c r="C9" s="57"/>
      <c r="D9" s="33">
        <f>(SUM(D2:D8))/7</f>
        <v>85.714285714285708</v>
      </c>
      <c r="E9" s="33">
        <f t="shared" ref="E9:F9" si="2">(SUM(E2:E8))/7</f>
        <v>15.285714285714286</v>
      </c>
      <c r="F9" s="33">
        <f t="shared" si="2"/>
        <v>5.5376400560224095</v>
      </c>
      <c r="G9" s="33">
        <f>(SUM(G2:G8))/7</f>
        <v>5.7142857142857144</v>
      </c>
    </row>
    <row r="11" spans="2:7" ht="15.5" x14ac:dyDescent="0.35">
      <c r="B11" s="7" t="s">
        <v>33</v>
      </c>
      <c r="C11" s="25" t="s">
        <v>2</v>
      </c>
      <c r="D11" s="12">
        <v>32</v>
      </c>
      <c r="E11" s="12">
        <v>9</v>
      </c>
      <c r="F11" s="32">
        <f>D11/E11</f>
        <v>3.5555555555555554</v>
      </c>
      <c r="G11" s="17">
        <v>4</v>
      </c>
    </row>
    <row r="12" spans="2:7" ht="15.5" x14ac:dyDescent="0.35">
      <c r="B12" s="7" t="s">
        <v>39</v>
      </c>
      <c r="C12" s="25" t="s">
        <v>3</v>
      </c>
      <c r="D12" s="12">
        <v>29</v>
      </c>
      <c r="E12" s="12">
        <v>8</v>
      </c>
      <c r="F12" s="32">
        <f t="shared" ref="F12:F19" si="3">D12/E12</f>
        <v>3.625</v>
      </c>
      <c r="G12" s="17">
        <v>4</v>
      </c>
    </row>
    <row r="13" spans="2:7" ht="15.5" x14ac:dyDescent="0.35">
      <c r="B13" s="7" t="s">
        <v>40</v>
      </c>
      <c r="C13" s="25" t="s">
        <v>4</v>
      </c>
      <c r="D13" s="12">
        <v>22</v>
      </c>
      <c r="E13" s="12">
        <v>6</v>
      </c>
      <c r="F13" s="32">
        <f t="shared" si="3"/>
        <v>3.6666666666666665</v>
      </c>
      <c r="G13" s="17">
        <v>4</v>
      </c>
    </row>
    <row r="14" spans="2:7" ht="15.5" x14ac:dyDescent="0.35">
      <c r="B14" s="7" t="s">
        <v>45</v>
      </c>
      <c r="C14" s="25" t="s">
        <v>11</v>
      </c>
      <c r="D14" s="12">
        <v>79</v>
      </c>
      <c r="E14" s="12">
        <v>15</v>
      </c>
      <c r="F14" s="32">
        <f t="shared" si="3"/>
        <v>5.2666666666666666</v>
      </c>
      <c r="G14" s="17">
        <v>5</v>
      </c>
    </row>
    <row r="15" spans="2:7" ht="15.5" x14ac:dyDescent="0.35">
      <c r="B15" s="7" t="s">
        <v>47</v>
      </c>
      <c r="C15" s="25" t="s">
        <v>13</v>
      </c>
      <c r="D15" s="12">
        <v>44</v>
      </c>
      <c r="E15" s="12">
        <v>9</v>
      </c>
      <c r="F15" s="32">
        <f t="shared" si="3"/>
        <v>4.8888888888888893</v>
      </c>
      <c r="G15" s="17">
        <v>5</v>
      </c>
    </row>
    <row r="16" spans="2:7" ht="15.5" x14ac:dyDescent="0.35">
      <c r="B16" s="7" t="s">
        <v>48</v>
      </c>
      <c r="C16" s="25" t="s">
        <v>14</v>
      </c>
      <c r="D16" s="12">
        <v>80</v>
      </c>
      <c r="E16" s="12">
        <v>13</v>
      </c>
      <c r="F16" s="32">
        <f t="shared" si="3"/>
        <v>6.1538461538461542</v>
      </c>
      <c r="G16" s="17">
        <v>6</v>
      </c>
    </row>
    <row r="17" spans="2:7" ht="15.5" x14ac:dyDescent="0.35">
      <c r="B17" s="7" t="s">
        <v>49</v>
      </c>
      <c r="C17" s="25" t="s">
        <v>15</v>
      </c>
      <c r="D17" s="12">
        <v>33</v>
      </c>
      <c r="E17" s="12">
        <v>9</v>
      </c>
      <c r="F17" s="32">
        <f t="shared" si="3"/>
        <v>3.6666666666666665</v>
      </c>
      <c r="G17" s="17">
        <v>4</v>
      </c>
    </row>
    <row r="18" spans="2:7" ht="15.5" x14ac:dyDescent="0.35">
      <c r="B18" s="7" t="s">
        <v>35</v>
      </c>
      <c r="C18" s="25" t="s">
        <v>16</v>
      </c>
      <c r="D18" s="12">
        <v>31</v>
      </c>
      <c r="E18" s="12">
        <v>9</v>
      </c>
      <c r="F18" s="32">
        <f t="shared" si="3"/>
        <v>3.4444444444444446</v>
      </c>
      <c r="G18" s="17">
        <v>3</v>
      </c>
    </row>
    <row r="19" spans="2:7" ht="15.5" x14ac:dyDescent="0.35">
      <c r="B19" s="7" t="s">
        <v>51</v>
      </c>
      <c r="C19" s="25" t="s">
        <v>18</v>
      </c>
      <c r="D19" s="12">
        <v>97</v>
      </c>
      <c r="E19" s="12">
        <v>18</v>
      </c>
      <c r="F19" s="32">
        <f t="shared" si="3"/>
        <v>5.3888888888888893</v>
      </c>
      <c r="G19" s="17">
        <v>5</v>
      </c>
    </row>
    <row r="20" spans="2:7" x14ac:dyDescent="0.35">
      <c r="B20" s="58" t="s">
        <v>75</v>
      </c>
      <c r="C20" s="58"/>
      <c r="D20" s="37">
        <f>SUM(D11:D19)/9</f>
        <v>49.666666666666664</v>
      </c>
      <c r="E20" s="37">
        <f t="shared" ref="E20:G20" si="4">SUM(E11:E19)/9</f>
        <v>10.666666666666666</v>
      </c>
      <c r="F20" s="37">
        <f t="shared" si="4"/>
        <v>4.4062915479582143</v>
      </c>
      <c r="G20" s="37">
        <f t="shared" si="4"/>
        <v>4.4444444444444446</v>
      </c>
    </row>
    <row r="22" spans="2:7" ht="15.5" x14ac:dyDescent="0.35">
      <c r="B22" s="7" t="s">
        <v>50</v>
      </c>
      <c r="C22" s="25" t="s">
        <v>17</v>
      </c>
      <c r="D22" s="12">
        <v>47</v>
      </c>
      <c r="E22" s="12">
        <v>9</v>
      </c>
      <c r="F22" s="32">
        <f t="shared" ref="F22:F28" si="5">D22/E22</f>
        <v>5.2222222222222223</v>
      </c>
      <c r="G22" s="17">
        <v>5</v>
      </c>
    </row>
    <row r="23" spans="2:7" ht="15.5" x14ac:dyDescent="0.35">
      <c r="B23" s="7" t="s">
        <v>53</v>
      </c>
      <c r="C23" s="25" t="s">
        <v>20</v>
      </c>
      <c r="D23" s="12">
        <v>29</v>
      </c>
      <c r="E23" s="12">
        <v>6</v>
      </c>
      <c r="F23" s="32">
        <f t="shared" si="5"/>
        <v>4.833333333333333</v>
      </c>
      <c r="G23" s="17">
        <v>5</v>
      </c>
    </row>
    <row r="24" spans="2:7" ht="15.5" x14ac:dyDescent="0.35">
      <c r="B24" s="7" t="s">
        <v>38</v>
      </c>
      <c r="C24" s="6" t="s">
        <v>25</v>
      </c>
      <c r="D24" s="7">
        <v>123</v>
      </c>
      <c r="E24" s="7">
        <v>19</v>
      </c>
      <c r="F24" s="32">
        <f t="shared" si="5"/>
        <v>6.4736842105263159</v>
      </c>
      <c r="G24" s="17">
        <v>7</v>
      </c>
    </row>
    <row r="25" spans="2:7" ht="15.5" x14ac:dyDescent="0.35">
      <c r="B25" s="7" t="s">
        <v>59</v>
      </c>
      <c r="C25" s="6" t="s">
        <v>28</v>
      </c>
      <c r="D25" s="7">
        <v>35</v>
      </c>
      <c r="E25" s="7">
        <v>9</v>
      </c>
      <c r="F25" s="32">
        <f t="shared" si="5"/>
        <v>3.8888888888888888</v>
      </c>
      <c r="G25" s="17">
        <v>4</v>
      </c>
    </row>
    <row r="26" spans="2:7" ht="15.5" x14ac:dyDescent="0.35">
      <c r="B26" s="7" t="s">
        <v>60</v>
      </c>
      <c r="C26" s="6" t="s">
        <v>29</v>
      </c>
      <c r="D26" s="7">
        <v>40</v>
      </c>
      <c r="E26" s="7">
        <v>8</v>
      </c>
      <c r="F26" s="32">
        <f t="shared" si="5"/>
        <v>5</v>
      </c>
      <c r="G26" s="17">
        <v>5</v>
      </c>
    </row>
    <row r="27" spans="2:7" ht="15.5" x14ac:dyDescent="0.35">
      <c r="B27" s="7" t="s">
        <v>61</v>
      </c>
      <c r="C27" s="6" t="s">
        <v>30</v>
      </c>
      <c r="D27" s="7">
        <v>36</v>
      </c>
      <c r="E27" s="7">
        <v>9</v>
      </c>
      <c r="F27" s="32">
        <f t="shared" si="5"/>
        <v>4</v>
      </c>
      <c r="G27" s="17">
        <v>4</v>
      </c>
    </row>
    <row r="28" spans="2:7" ht="15.5" x14ac:dyDescent="0.35">
      <c r="B28" s="7" t="s">
        <v>62</v>
      </c>
      <c r="C28" s="6" t="s">
        <v>31</v>
      </c>
      <c r="D28" s="7">
        <v>43</v>
      </c>
      <c r="E28" s="7">
        <v>9</v>
      </c>
      <c r="F28" s="32">
        <f t="shared" si="5"/>
        <v>4.7777777777777777</v>
      </c>
      <c r="G28" s="17">
        <v>5</v>
      </c>
    </row>
    <row r="29" spans="2:7" x14ac:dyDescent="0.35">
      <c r="B29" s="58" t="s">
        <v>75</v>
      </c>
      <c r="C29" s="58"/>
      <c r="D29" s="33">
        <f>SUM(D22:D28)/7</f>
        <v>50.428571428571431</v>
      </c>
      <c r="E29" s="33">
        <f t="shared" ref="E29:G29" si="6">SUM(E22:E28)/7</f>
        <v>9.8571428571428577</v>
      </c>
      <c r="F29" s="33">
        <f t="shared" si="6"/>
        <v>4.8851294903926483</v>
      </c>
      <c r="G29" s="33">
        <f t="shared" si="6"/>
        <v>5</v>
      </c>
    </row>
    <row r="31" spans="2:7" ht="15.5" x14ac:dyDescent="0.35">
      <c r="B31" s="7" t="s">
        <v>41</v>
      </c>
      <c r="C31" s="25" t="s">
        <v>5</v>
      </c>
      <c r="D31" s="12">
        <v>33</v>
      </c>
      <c r="E31" s="12">
        <v>9</v>
      </c>
      <c r="F31" s="32">
        <f t="shared" ref="F31:F37" si="7">D31/E31</f>
        <v>3.6666666666666665</v>
      </c>
      <c r="G31" s="17">
        <v>4</v>
      </c>
    </row>
    <row r="32" spans="2:7" ht="15.5" x14ac:dyDescent="0.35">
      <c r="B32" s="7" t="s">
        <v>37</v>
      </c>
      <c r="C32" s="25" t="s">
        <v>6</v>
      </c>
      <c r="D32" s="12">
        <v>22</v>
      </c>
      <c r="E32" s="12">
        <v>6</v>
      </c>
      <c r="F32" s="32">
        <f t="shared" si="7"/>
        <v>3.6666666666666665</v>
      </c>
      <c r="G32" s="17">
        <v>4</v>
      </c>
    </row>
    <row r="33" spans="2:7" ht="15.5" x14ac:dyDescent="0.35">
      <c r="B33" s="7" t="s">
        <v>42</v>
      </c>
      <c r="C33" s="25" t="s">
        <v>7</v>
      </c>
      <c r="D33" s="12">
        <v>48</v>
      </c>
      <c r="E33" s="12">
        <v>8</v>
      </c>
      <c r="F33" s="32">
        <f t="shared" si="7"/>
        <v>6</v>
      </c>
      <c r="G33" s="17">
        <v>6</v>
      </c>
    </row>
    <row r="34" spans="2:7" ht="15.5" x14ac:dyDescent="0.35">
      <c r="B34" s="7" t="s">
        <v>43</v>
      </c>
      <c r="C34" s="25" t="s">
        <v>8</v>
      </c>
      <c r="D34" s="12">
        <v>48</v>
      </c>
      <c r="E34" s="12">
        <v>9</v>
      </c>
      <c r="F34" s="32">
        <f t="shared" si="7"/>
        <v>5.333333333333333</v>
      </c>
      <c r="G34" s="17">
        <v>5</v>
      </c>
    </row>
    <row r="35" spans="2:7" ht="15.5" x14ac:dyDescent="0.35">
      <c r="B35" s="7" t="s">
        <v>44</v>
      </c>
      <c r="C35" s="25" t="s">
        <v>9</v>
      </c>
      <c r="D35" s="12">
        <v>31</v>
      </c>
      <c r="E35" s="12">
        <v>6</v>
      </c>
      <c r="F35" s="32">
        <f t="shared" si="7"/>
        <v>5.166666666666667</v>
      </c>
      <c r="G35" s="17">
        <v>5</v>
      </c>
    </row>
    <row r="36" spans="2:7" ht="15.5" x14ac:dyDescent="0.35">
      <c r="B36" s="7" t="s">
        <v>34</v>
      </c>
      <c r="C36" s="25" t="s">
        <v>10</v>
      </c>
      <c r="D36" s="12">
        <v>28</v>
      </c>
      <c r="E36" s="12">
        <v>7</v>
      </c>
      <c r="F36" s="32">
        <f t="shared" si="7"/>
        <v>4</v>
      </c>
      <c r="G36" s="17">
        <v>4</v>
      </c>
    </row>
    <row r="37" spans="2:7" ht="15.5" x14ac:dyDescent="0.35">
      <c r="B37" s="7" t="s">
        <v>46</v>
      </c>
      <c r="C37" s="25" t="s">
        <v>12</v>
      </c>
      <c r="D37" s="12">
        <v>41</v>
      </c>
      <c r="E37" s="12">
        <v>8</v>
      </c>
      <c r="F37" s="32">
        <f t="shared" si="7"/>
        <v>5.125</v>
      </c>
      <c r="G37" s="17">
        <v>5</v>
      </c>
    </row>
    <row r="38" spans="2:7" x14ac:dyDescent="0.35">
      <c r="B38" s="59" t="s">
        <v>75</v>
      </c>
      <c r="C38" s="59"/>
      <c r="D38" s="34">
        <f>SUM(D31:D37)/7</f>
        <v>35.857142857142854</v>
      </c>
      <c r="E38" s="34">
        <f t="shared" ref="E38:G38" si="8">SUM(E31:E37)/7</f>
        <v>7.5714285714285712</v>
      </c>
      <c r="F38" s="34">
        <f t="shared" si="8"/>
        <v>4.708333333333333</v>
      </c>
      <c r="G38" s="34">
        <f t="shared" si="8"/>
        <v>4.7142857142857144</v>
      </c>
    </row>
  </sheetData>
  <mergeCells count="4">
    <mergeCell ref="B9:C9"/>
    <mergeCell ref="B20:C20"/>
    <mergeCell ref="B29:C29"/>
    <mergeCell ref="B38:C38"/>
  </mergeCells>
  <hyperlinks>
    <hyperlink ref="C2" r:id="rId1" display="https://krukus-indonesia.blogspot.com/2010/11/dam-chain.html" xr:uid="{B6953DE0-BE41-43AE-8F14-9CB36E960E68}"/>
    <hyperlink ref="C3" r:id="rId2" display="https://krukus-indonesia.blogspot.com/2010/11/spring-plate.html" xr:uid="{0CC58B4B-EDA7-4CC5-8EEB-78C730AC3C50}"/>
    <hyperlink ref="C4" r:id="rId3" display="https://krukus-indonesia.blogspot.com/2010/11/multi-spring.html" xr:uid="{D525E902-8078-4867-B24F-334D1C9290AC}"/>
    <hyperlink ref="C5" r:id="rId4" display="https://krukus-indonesia.blogspot.com/2010/11/cartridge-metal-bellows.html" xr:uid="{6A4C8C83-647E-4451-95E4-7963F030D137}"/>
    <hyperlink ref="C6" r:id="rId5" display="https://krukus-indonesia.blogspot.com/2010/11/catride-multi-spring.html" xr:uid="{89A3CD0D-2A96-4DF7-A777-59C5C2D5225E}"/>
    <hyperlink ref="C11" r:id="rId6" display="https://krukus-indonesia.blogspot.com/2010/11/no-name-12.html" xr:uid="{BCD2A442-C4DA-48F1-AA75-F75F33C1A94D}"/>
    <hyperlink ref="C12" r:id="rId7" display="https://krukus-indonesia.blogspot.com/2010/11/no-name-6.html" xr:uid="{0B157391-7B96-4E32-A701-125795D30C82}"/>
    <hyperlink ref="C13" r:id="rId8" display="https://krukus-indonesia.blogspot.com/2010/11/annular-bop.html" xr:uid="{CBE122EC-D41A-497D-A090-9179AF4C0F61}"/>
    <hyperlink ref="C14" r:id="rId9" display="https://krukus-indonesia.blogspot.com/2010/11/shaffer.html" xr:uid="{D3AA547A-868A-4EEB-9188-38A38F7842C4}"/>
    <hyperlink ref="C15" r:id="rId10" display="https://krukus-indonesia.blogspot.com/2010/11/shaffer-l8.html" xr:uid="{13D678DD-D383-4FB9-87DC-6FAC50FFDEC6}"/>
    <hyperlink ref="C16" r:id="rId11" display="https://krukus-indonesia.blogspot.com/2010/11/shaffer-s.html" xr:uid="{54DA4F8C-2542-4CE8-898E-EF97C4CEB905}"/>
    <hyperlink ref="C17" r:id="rId12" display="https://krukus-indonesia.blogspot.com/2010/11/mounting.html" xr:uid="{3D687B2A-A433-46C9-A586-467E373826AB}"/>
    <hyperlink ref="C18" r:id="rId13" display="https://krukus-indonesia.blogspot.com/2010/11/front-pic.html" xr:uid="{79BB1F15-EFE6-498A-820E-42CA31104A9A}"/>
    <hyperlink ref="C19" r:id="rId14" display="https://krukus-indonesia.blogspot.com/2010/11/chain-2.html" xr:uid="{250E23B9-1D92-49D7-B681-24D6EE39F503}"/>
    <hyperlink ref="C22" r:id="rId15" display="https://krukus-indonesia.blogspot.com/2010/11/chain.html" xr:uid="{6C0A9C15-CA4C-4923-B14F-BD5D155A190C}"/>
    <hyperlink ref="C23" r:id="rId16" display="https://krukus-indonesia.blogspot.com/2010/11/spring-single.html" xr:uid="{89C4E0EF-F2CF-42C8-B746-06D86A6E41F8}"/>
    <hyperlink ref="C31" r:id="rId17" display="https://krukus-indonesia.blogspot.com/2010/11/annular-bop-set.html" xr:uid="{579F56C9-E8F7-4A1B-8DFE-0912B03B7506}"/>
    <hyperlink ref="C32" r:id="rId18" display="https://krukus-indonesia.blogspot.com/2010/11/bop-flanges.html" xr:uid="{1604DBD6-0FB2-4EF2-81E9-59D1B67AFD5A}"/>
    <hyperlink ref="C33" r:id="rId19" display="https://krukus-indonesia.blogspot.com/2010/11/bop-flanges-s.html" xr:uid="{74870A77-84C4-4248-8742-360BDCE63ECF}"/>
    <hyperlink ref="C34" r:id="rId20" display="https://krukus-indonesia.blogspot.com/2010/11/bop-set.html" xr:uid="{9F0A86B9-0EEE-4D10-96FB-C27D86D34DCC}"/>
    <hyperlink ref="C35" r:id="rId21" display="https://krukus-indonesia.blogspot.com/2010/11/hydrils.html" xr:uid="{817FEC69-680C-4274-8C93-7EA4A1B81FC4}"/>
    <hyperlink ref="C36" r:id="rId22" display="https://krukus-indonesia.blogspot.com/2010/11/ram.html" xr:uid="{26F0C9F7-F61C-4DBD-941F-4B9F825AF357}"/>
    <hyperlink ref="C37" r:id="rId23" display="https://krukus-indonesia.blogspot.com/2010/11/shaffer-b.html" xr:uid="{31640152-05BF-43FE-AA0C-16B6FA94422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ARC</vt:lpstr>
      <vt:lpstr>Sheet2</vt:lpstr>
      <vt:lpstr>Sheet6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LUQMAN</dc:creator>
  <cp:lastModifiedBy>LUQMAN</cp:lastModifiedBy>
  <dcterms:created xsi:type="dcterms:W3CDTF">2024-04-29T03:49:41Z</dcterms:created>
  <dcterms:modified xsi:type="dcterms:W3CDTF">2024-07-12T07:06:11Z</dcterms:modified>
</cp:coreProperties>
</file>